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G:\PLANEACION INSTITUCIONAL\SEGUIMIENTO PLAN DE ACCIÓN 2023\"/>
    </mc:Choice>
  </mc:AlternateContent>
  <bookViews>
    <workbookView xWindow="0" yWindow="0" windowWidth="20490" windowHeight="7755" tabRatio="497"/>
  </bookViews>
  <sheets>
    <sheet name="SEGUIMIENTO PLAN DE ACCIÓN 2023" sheetId="21" r:id="rId1"/>
  </sheets>
  <externalReferences>
    <externalReference r:id="rId2"/>
  </externalReferences>
  <definedNames>
    <definedName name="_xlnm.Print_Area" localSheetId="0">'SEGUIMIENTO PLAN DE ACCIÓN 2023'!$A$1:$I$128</definedName>
    <definedName name="Inversión">"#REF!"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38" i="21" l="1"/>
  <c r="Q81" i="21"/>
  <c r="W81" i="21" s="1"/>
  <c r="X81" i="21" s="1"/>
  <c r="Q79" i="21"/>
  <c r="W79" i="21" s="1"/>
  <c r="X79" i="21" s="1"/>
  <c r="Q77" i="21"/>
  <c r="W77" i="21" s="1"/>
  <c r="X77" i="21" s="1"/>
  <c r="L48" i="21" l="1"/>
  <c r="P48" i="21" s="1"/>
  <c r="L46" i="21"/>
  <c r="P46" i="21" s="1"/>
  <c r="X103" i="21"/>
  <c r="W103" i="21"/>
  <c r="Q75" i="21"/>
  <c r="Q73" i="21"/>
  <c r="N71" i="21"/>
  <c r="Q71" i="21" s="1"/>
  <c r="K75" i="21"/>
  <c r="H101" i="21"/>
  <c r="G101" i="21"/>
  <c r="G95" i="21"/>
  <c r="N69" i="21" l="1"/>
  <c r="W62" i="21"/>
  <c r="W61" i="21"/>
  <c r="L62" i="21"/>
  <c r="L115" i="21" l="1"/>
  <c r="P115" i="21" s="1"/>
  <c r="J115" i="21" l="1"/>
  <c r="M125" i="21" l="1"/>
  <c r="M118" i="21"/>
  <c r="M117" i="21"/>
  <c r="Q115" i="21"/>
  <c r="N117" i="21" l="1"/>
  <c r="Q117" i="21" s="1"/>
  <c r="L75" i="21" l="1"/>
  <c r="P75" i="21" s="1"/>
  <c r="P81" i="21"/>
  <c r="O81" i="21"/>
  <c r="P79" i="21"/>
  <c r="O79" i="21"/>
  <c r="P77" i="21"/>
  <c r="O77" i="21"/>
  <c r="O75" i="21"/>
  <c r="W75" i="21" s="1"/>
  <c r="X75" i="21" s="1"/>
  <c r="P73" i="21"/>
  <c r="W73" i="21" s="1"/>
  <c r="X73" i="21" s="1"/>
  <c r="O73" i="21"/>
  <c r="P71" i="21"/>
  <c r="O71" i="21"/>
  <c r="W71" i="21" s="1"/>
  <c r="X71" i="21" s="1"/>
  <c r="X63" i="21" l="1"/>
  <c r="Q62" i="21" l="1"/>
  <c r="P61" i="21"/>
  <c r="Q61" i="21"/>
  <c r="N57" i="21"/>
  <c r="Q57" i="21" s="1"/>
  <c r="J55" i="21"/>
  <c r="O55" i="21" s="1"/>
  <c r="L53" i="21"/>
  <c r="P53" i="21" s="1"/>
  <c r="X50" i="21"/>
  <c r="W36" i="21" l="1"/>
  <c r="X36" i="21" s="1"/>
  <c r="W34" i="21"/>
  <c r="X34" i="21" s="1"/>
  <c r="W32" i="21"/>
  <c r="X32" i="21" s="1"/>
  <c r="W30" i="21"/>
  <c r="X30" i="21" s="1"/>
  <c r="W28" i="21"/>
  <c r="X28" i="21" s="1"/>
  <c r="L44" i="21"/>
  <c r="P44" i="21" s="1"/>
  <c r="Q38" i="21"/>
  <c r="K73" i="21" l="1"/>
  <c r="K71" i="21"/>
  <c r="N59" i="21"/>
  <c r="Q59" i="21" s="1"/>
  <c r="N55" i="21"/>
  <c r="Q55" i="21" s="1"/>
  <c r="N53" i="21"/>
  <c r="Q53" i="21" s="1"/>
  <c r="N48" i="21"/>
  <c r="Q48" i="21" s="1"/>
  <c r="N46" i="21"/>
  <c r="Q46" i="21" s="1"/>
  <c r="N44" i="21"/>
  <c r="Q44" i="21" s="1"/>
  <c r="N127" i="21" l="1"/>
  <c r="Q127" i="21" s="1"/>
  <c r="X127" i="21" s="1"/>
  <c r="N125" i="21"/>
  <c r="Q125" i="21" s="1"/>
  <c r="N123" i="21"/>
  <c r="Q123" i="21" s="1"/>
  <c r="X123" i="21" s="1"/>
  <c r="M122" i="21"/>
  <c r="N121" i="21" s="1"/>
  <c r="Q121" i="21" s="1"/>
  <c r="X121" i="21" s="1"/>
  <c r="N119" i="21"/>
  <c r="Q119" i="21" s="1"/>
  <c r="X119" i="21" s="1"/>
  <c r="M114" i="21"/>
  <c r="M113" i="21"/>
  <c r="N113" i="21" s="1"/>
  <c r="Q113" i="21" s="1"/>
  <c r="X113" i="21" s="1"/>
  <c r="M112" i="21"/>
  <c r="M111" i="21"/>
  <c r="M109" i="21"/>
  <c r="N109" i="21" s="1"/>
  <c r="Q109" i="21" s="1"/>
  <c r="X109" i="21" s="1"/>
  <c r="N111" i="21" l="1"/>
  <c r="Q111" i="21" s="1"/>
  <c r="X111" i="21" s="1"/>
  <c r="M43" i="21"/>
  <c r="M42" i="21"/>
  <c r="N42" i="21" s="1"/>
  <c r="Q42" i="21" s="1"/>
  <c r="M41" i="21"/>
  <c r="M40" i="21"/>
  <c r="Q69" i="21"/>
  <c r="N67" i="21"/>
  <c r="Q67" i="21" s="1"/>
  <c r="N65" i="21"/>
  <c r="Q65" i="21" s="1"/>
  <c r="N63" i="21"/>
  <c r="Q63" i="21" s="1"/>
  <c r="N40" i="21" l="1"/>
  <c r="Q40" i="21" s="1"/>
  <c r="W40" i="21" s="1"/>
  <c r="N26" i="21"/>
  <c r="Q26" i="21" s="1"/>
  <c r="W26" i="21" s="1"/>
  <c r="N24" i="21"/>
  <c r="P20" i="21"/>
  <c r="L24" i="21"/>
  <c r="N22" i="21"/>
  <c r="Q22" i="21" s="1"/>
  <c r="N20" i="21"/>
  <c r="Q20" i="21" s="1"/>
  <c r="X20" i="21" s="1"/>
  <c r="N18" i="21" l="1"/>
  <c r="Q18" i="21" s="1"/>
  <c r="N10" i="21"/>
  <c r="Q10" i="21" s="1"/>
  <c r="W10" i="21" s="1"/>
  <c r="X10" i="21" s="1"/>
  <c r="L10" i="21"/>
  <c r="P10" i="21" s="1"/>
  <c r="O16" i="21"/>
  <c r="O14" i="21"/>
  <c r="O12" i="21"/>
  <c r="L16" i="21"/>
  <c r="P16" i="21" s="1"/>
  <c r="L14" i="21"/>
  <c r="P14" i="21" s="1"/>
  <c r="L12" i="21"/>
  <c r="P12" i="21" s="1"/>
  <c r="N16" i="21" l="1"/>
  <c r="Q16" i="21" s="1"/>
  <c r="N14" i="21"/>
  <c r="Q14" i="21" s="1"/>
  <c r="N12" i="21"/>
  <c r="Q12" i="21" s="1"/>
  <c r="N36" i="21" l="1"/>
  <c r="N34" i="21"/>
  <c r="N32" i="21"/>
  <c r="N30" i="21"/>
  <c r="N28" i="21"/>
  <c r="N8" i="21"/>
  <c r="Q8" i="21" s="1"/>
  <c r="N6" i="21"/>
  <c r="Q6" i="21" s="1"/>
  <c r="W6" i="21" s="1"/>
  <c r="X6" i="21" s="1"/>
  <c r="L34" i="21" l="1"/>
  <c r="L59" i="21"/>
  <c r="L57" i="21"/>
  <c r="P57" i="21" s="1"/>
  <c r="L55" i="21"/>
  <c r="P38" i="21" l="1"/>
  <c r="L42" i="21"/>
  <c r="P42" i="21" s="1"/>
  <c r="L40" i="21"/>
  <c r="P40" i="21" s="1"/>
  <c r="P127" i="21" l="1"/>
  <c r="P113" i="21"/>
  <c r="W16" i="21"/>
  <c r="X16" i="21" s="1"/>
  <c r="W14" i="21"/>
  <c r="X14" i="21" s="1"/>
  <c r="W12" i="21"/>
  <c r="X12" i="21" s="1"/>
  <c r="L125" i="21"/>
  <c r="L123" i="21"/>
  <c r="P123" i="21" s="1"/>
  <c r="K122" i="21"/>
  <c r="L121" i="21" s="1"/>
  <c r="P121" i="21" s="1"/>
  <c r="L119" i="21"/>
  <c r="P119" i="21" s="1"/>
  <c r="K117" i="21"/>
  <c r="L117" i="21" s="1"/>
  <c r="P117" i="21" s="1"/>
  <c r="L111" i="21"/>
  <c r="P111" i="21" s="1"/>
  <c r="L109" i="21"/>
  <c r="P109" i="21" s="1"/>
  <c r="P59" i="21" l="1"/>
  <c r="P55" i="21"/>
  <c r="P51" i="21"/>
  <c r="O61" i="21"/>
  <c r="O62" i="21"/>
  <c r="K108" i="21" l="1"/>
  <c r="L107" i="21" s="1"/>
  <c r="P107" i="21" s="1"/>
  <c r="N107" i="21"/>
  <c r="Q107" i="21" s="1"/>
  <c r="N105" i="21"/>
  <c r="Q105" i="21" s="1"/>
  <c r="L105" i="21"/>
  <c r="P105" i="21" s="1"/>
  <c r="N103" i="21"/>
  <c r="Q103" i="21" s="1"/>
  <c r="L103" i="21"/>
  <c r="P103" i="21" s="1"/>
  <c r="N101" i="21"/>
  <c r="Q101" i="21" s="1"/>
  <c r="L101" i="21"/>
  <c r="N99" i="21"/>
  <c r="Q99" i="21" s="1"/>
  <c r="W99" i="21" s="1"/>
  <c r="L99" i="21"/>
  <c r="P99" i="21" s="1"/>
  <c r="K98" i="21"/>
  <c r="L97" i="21" s="1"/>
  <c r="P97" i="21" s="1"/>
  <c r="N97" i="21"/>
  <c r="Q97" i="21" s="1"/>
  <c r="N95" i="21"/>
  <c r="L95" i="21"/>
  <c r="P95" i="21" s="1"/>
  <c r="N93" i="21"/>
  <c r="Q93" i="21" s="1"/>
  <c r="L93" i="21"/>
  <c r="P93" i="21" s="1"/>
  <c r="K92" i="21"/>
  <c r="N91" i="21"/>
  <c r="Q91" i="21" s="1"/>
  <c r="L91" i="21"/>
  <c r="P91" i="21" s="1"/>
  <c r="O89" i="21"/>
  <c r="X89" i="21" s="1"/>
  <c r="N89" i="21"/>
  <c r="Q89" i="21" s="1"/>
  <c r="L89" i="21"/>
  <c r="P89" i="21" s="1"/>
  <c r="N87" i="21"/>
  <c r="Q87" i="21" s="1"/>
  <c r="L87" i="21"/>
  <c r="P87" i="21" s="1"/>
  <c r="N85" i="21"/>
  <c r="Q85" i="21" s="1"/>
  <c r="L85" i="21"/>
  <c r="P85" i="21" s="1"/>
  <c r="N83" i="21"/>
  <c r="Q83" i="21" s="1"/>
  <c r="L83" i="21"/>
  <c r="X83" i="21" s="1"/>
  <c r="L30" i="21"/>
  <c r="L36" i="21"/>
  <c r="L32" i="21"/>
  <c r="L28" i="21"/>
  <c r="L6" i="21"/>
  <c r="P6" i="21" s="1"/>
  <c r="L69" i="21"/>
  <c r="P69" i="21" s="1"/>
  <c r="L67" i="21"/>
  <c r="P67" i="21" s="1"/>
  <c r="L65" i="21"/>
  <c r="P65" i="21" s="1"/>
  <c r="L63" i="21"/>
  <c r="P63" i="21" s="1"/>
  <c r="X8" i="21"/>
  <c r="W8" i="21"/>
  <c r="L8" i="21"/>
  <c r="L18" i="21"/>
  <c r="P18" i="21" s="1"/>
  <c r="L22" i="21"/>
  <c r="P22" i="21" s="1"/>
  <c r="I108" i="21"/>
  <c r="J107" i="21" s="1"/>
  <c r="O107" i="21" s="1"/>
  <c r="W107" i="21" s="1"/>
  <c r="J105" i="21"/>
  <c r="X105" i="21" s="1"/>
  <c r="J103" i="21"/>
  <c r="J101" i="21"/>
  <c r="O101" i="21" s="1"/>
  <c r="J99" i="21"/>
  <c r="O99" i="21" s="1"/>
  <c r="I98" i="21"/>
  <c r="J97" i="21" s="1"/>
  <c r="O97" i="21" s="1"/>
  <c r="J93" i="21"/>
  <c r="O93" i="21" s="1"/>
  <c r="X93" i="21" s="1"/>
  <c r="I92" i="21"/>
  <c r="J91" i="21" s="1"/>
  <c r="O91" i="21" s="1"/>
  <c r="J89" i="21"/>
  <c r="J87" i="21"/>
  <c r="O87" i="21" s="1"/>
  <c r="W87" i="21" s="1"/>
  <c r="J85" i="21"/>
  <c r="O85" i="21" s="1"/>
  <c r="J83" i="21"/>
  <c r="O83" i="21" s="1"/>
  <c r="J59" i="21"/>
  <c r="O59" i="21" s="1"/>
  <c r="J24" i="21"/>
  <c r="J67" i="21"/>
  <c r="O67" i="21" s="1"/>
  <c r="J65" i="21"/>
  <c r="O65" i="21" s="1"/>
  <c r="W65" i="21" s="1"/>
  <c r="X65" i="21" s="1"/>
  <c r="J62" i="21"/>
  <c r="P62" i="21" s="1"/>
  <c r="J57" i="21"/>
  <c r="O57" i="21" s="1"/>
  <c r="J53" i="21"/>
  <c r="O53" i="21" s="1"/>
  <c r="J50" i="21"/>
  <c r="J40" i="21"/>
  <c r="O40" i="21" s="1"/>
  <c r="J36" i="21"/>
  <c r="J30" i="21"/>
  <c r="J28" i="21"/>
  <c r="J18" i="21"/>
  <c r="O18" i="21" s="1"/>
  <c r="J10" i="21"/>
  <c r="O10" i="21" s="1"/>
  <c r="J6" i="21"/>
  <c r="O6" i="21" s="1"/>
  <c r="J48" i="21"/>
  <c r="O48" i="21" s="1"/>
  <c r="W48" i="21" s="1"/>
  <c r="X48" i="21" s="1"/>
  <c r="J46" i="21"/>
  <c r="O46" i="21" s="1"/>
  <c r="W46" i="21" s="1"/>
  <c r="X46" i="21" s="1"/>
  <c r="J44" i="21"/>
  <c r="O44" i="21" s="1"/>
  <c r="W44" i="21" s="1"/>
  <c r="X44" i="21" s="1"/>
  <c r="J42" i="21"/>
  <c r="O42" i="21" s="1"/>
  <c r="O113" i="21"/>
  <c r="W113" i="21" s="1"/>
  <c r="O115" i="21"/>
  <c r="W115" i="21" s="1"/>
  <c r="O127" i="21"/>
  <c r="W127" i="21" s="1"/>
  <c r="O125" i="21"/>
  <c r="J123" i="21"/>
  <c r="I122" i="21"/>
  <c r="J121" i="21"/>
  <c r="O121" i="21" s="1"/>
  <c r="W121" i="21" s="1"/>
  <c r="J119" i="21"/>
  <c r="I117" i="21"/>
  <c r="J117" i="21" s="1"/>
  <c r="O117" i="21" s="1"/>
  <c r="W117" i="21" s="1"/>
  <c r="X117" i="21" s="1"/>
  <c r="I112" i="21"/>
  <c r="I111" i="21"/>
  <c r="I109" i="21"/>
  <c r="J109" i="21" s="1"/>
  <c r="O109" i="21" s="1"/>
  <c r="W109" i="21" s="1"/>
  <c r="J34" i="21"/>
  <c r="J32" i="21"/>
  <c r="O32" i="21" s="1"/>
  <c r="J8" i="21"/>
  <c r="O26" i="21"/>
  <c r="O20" i="21"/>
  <c r="W20" i="21" s="1"/>
  <c r="J22" i="21"/>
  <c r="O22" i="21" s="1"/>
  <c r="J69" i="21"/>
  <c r="O69" i="21" s="1"/>
  <c r="J63" i="21"/>
  <c r="O119" i="21"/>
  <c r="W119" i="21" s="1"/>
  <c r="O123" i="21"/>
  <c r="W123" i="21" s="1"/>
  <c r="J111" i="21" l="1"/>
  <c r="O111" i="21" s="1"/>
  <c r="W111" i="21" s="1"/>
  <c r="W67" i="21"/>
  <c r="X67" i="21" s="1"/>
  <c r="X69" i="21"/>
  <c r="W97" i="21"/>
  <c r="X97" i="21" s="1"/>
  <c r="O103" i="21"/>
  <c r="W18" i="21"/>
  <c r="P24" i="21"/>
  <c r="O24" i="21"/>
  <c r="O105" i="21"/>
  <c r="W105" i="21" s="1"/>
  <c r="P101" i="21"/>
  <c r="W101" i="21" s="1"/>
  <c r="X101" i="21" s="1"/>
  <c r="P83" i="21"/>
  <c r="W83" i="21" s="1"/>
  <c r="O63" i="21"/>
  <c r="W22" i="21"/>
  <c r="Q24" i="21" l="1"/>
  <c r="W24" i="21" s="1"/>
</calcChain>
</file>

<file path=xl/comments1.xml><?xml version="1.0" encoding="utf-8"?>
<comments xmlns="http://schemas.openxmlformats.org/spreadsheetml/2006/main">
  <authors>
    <author>tc={42D3049F-6B37-457C-A752-7016258D0C2C}</author>
    <author>tc={D4D1E5D6-5717-4703-AAF9-7CAB3367B6ED}</author>
    <author>tc={39318E39-9150-4B0D-BC7B-94D8A438F0E6}</author>
    <author>tc={2F0048CF-C5BF-4CEA-92C6-8794AC33116F}</author>
    <author>tc={BC068EC9-3E40-483B-8570-007149D8CA32}</author>
  </authors>
  <commentList>
    <comment ref="W4" authorId="0"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La meta acumulada en cada cuatrimestre</t>
        </r>
      </text>
    </comment>
    <comment ref="Y4" authorId="1"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Lo que se espera alcanzar</t>
        </r>
      </text>
    </comment>
    <comment ref="R20" authorId="2"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En este espacio columna (J)va el resultado de la formula realizada en la columna I
Respuesta:
    En la columna f esta la formula q cada proceso debe aplicar.</t>
        </r>
      </text>
    </comment>
    <comment ref="H50" authorId="3"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Meta superada del plan estrategico</t>
        </r>
      </text>
    </comment>
    <comment ref="H125" authorId="4"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La meta establecida es 99</t>
        </r>
      </text>
    </comment>
  </commentList>
</comments>
</file>

<file path=xl/sharedStrings.xml><?xml version="1.0" encoding="utf-8"?>
<sst xmlns="http://schemas.openxmlformats.org/spreadsheetml/2006/main" count="566" uniqueCount="462">
  <si>
    <t>No</t>
  </si>
  <si>
    <t>DOCUMENTO CONTROLADO</t>
  </si>
  <si>
    <t>Código: PMI-PL-02</t>
  </si>
  <si>
    <t>Nombre del proceso</t>
  </si>
  <si>
    <t>Objetivo General</t>
  </si>
  <si>
    <t>Nombre del indicador</t>
  </si>
  <si>
    <t>Formula</t>
  </si>
  <si>
    <t>Página: 1 de 2</t>
  </si>
  <si>
    <t>Objetivo Específicos</t>
  </si>
  <si>
    <t>Requiere recursos de Inversion</t>
  </si>
  <si>
    <t>PLANEACIÓN  Y MEJORAMIENTO INSTITUCIONAL</t>
  </si>
  <si>
    <t>Realizar Seguimientos trimestrales al Plan de Acción y anual al Plan Estratégico</t>
  </si>
  <si>
    <t>Inscribir el 100% de los tramites de la empresa en la plataforma SUIT</t>
  </si>
  <si>
    <t>Presentar la Rendición de la Cuenta a la Contraloría Departamental y la Audiencia Pública a la comunidad.</t>
  </si>
  <si>
    <t>Mantener actualizada la información de la página oficial de la empresa</t>
  </si>
  <si>
    <t>Lograr la integración de los sistemas de información que posee la empresa</t>
  </si>
  <si>
    <t>Dar cumplimiento al Decreto 2573 de 2014 (Estrategia de Gobierno en línea)</t>
  </si>
  <si>
    <t>Realizar mantenimiento de software, hardware y redes propiedad de la empresa</t>
  </si>
  <si>
    <t>Aumentar la eficiencia del recaudo de los servicios que presta la empresa</t>
  </si>
  <si>
    <t>Aumentar  el porcentaje de cartera recuperada</t>
  </si>
  <si>
    <t>COMERCIALIZACIÓN DE SERVICIOS Y ATENCIÓN AL CLIENTE</t>
  </si>
  <si>
    <t>Garantizar el suministro de información necesaria, oportuna y confiable a los grupos de interés internos y externos, que facilite el cumplimento de la misión con el apoyo del software, hardware  y medios de comunicación pertinentes de acuerdo con las normas legales y las políticas de la organización.</t>
  </si>
  <si>
    <t>SI</t>
  </si>
  <si>
    <t>Porcentaje de Seguimiento al Plan Estratégico Institucional y Planes de Acción</t>
  </si>
  <si>
    <t>Indicadores  Plan estratégico con seguimiento y control</t>
  </si>
  <si>
    <t>Total de indicadores del Plan Estratégico</t>
  </si>
  <si>
    <t>Porcentaje de trámites inscritos en la plataforma SUIT</t>
  </si>
  <si>
    <t>Trámites inscritos en la Plataforma SUIT</t>
  </si>
  <si>
    <t>Número de  Rendiciones de cuenta  y Audiencias Públicas presentadas</t>
  </si>
  <si>
    <t>Rendiciones de cuentas y audiencias públicas presentadas</t>
  </si>
  <si>
    <t xml:space="preserve">Número total de suscriptores acueducto </t>
  </si>
  <si>
    <t>Campos actualizados</t>
  </si>
  <si>
    <t>Totalidad de campos de la página oficial de la empresa</t>
  </si>
  <si>
    <t>Módulos integrados</t>
  </si>
  <si>
    <t>Totalidad de módulos</t>
  </si>
  <si>
    <t xml:space="preserve">Requerimientos implementados </t>
  </si>
  <si>
    <t>Requerimientos solicitados</t>
  </si>
  <si>
    <t>Mantenimiento software, hardware y redes</t>
  </si>
  <si>
    <t>Actividades realizadas</t>
  </si>
  <si>
    <t>Eficiencia en la recuperación de cartera</t>
  </si>
  <si>
    <t>Total cartera recuperada</t>
  </si>
  <si>
    <t xml:space="preserve">Total cartera </t>
  </si>
  <si>
    <t xml:space="preserve">Número de reclamaciones comerciales   </t>
  </si>
  <si>
    <t>Número total de suscriptores alcantarillado</t>
  </si>
  <si>
    <t>Número total de suscriptores gas</t>
  </si>
  <si>
    <t>Garantizar  que la venta, medición, facturación, gestión de cartera, el control de pérdidas comerciales y la atención al cliente relacionados con la prestación de los servicios públicos domiciliarios ofrecidos y negocios conexos  se desarrollen de acuerdo a la normatividad vigente y  las politicas y propuesta de valor de la organización</t>
  </si>
  <si>
    <t>Eficiencia del Recaudo para el Servicio de  Acueducto</t>
  </si>
  <si>
    <t>Eficiencia del Recaudo para el servicio  Alcantarillado</t>
  </si>
  <si>
    <t>Eficiencia del Recaudo para el  servicio de  gas</t>
  </si>
  <si>
    <t>Reducir  el índice de reclamaciones comerciales para los tres servicios  que presta la empresa</t>
  </si>
  <si>
    <t xml:space="preserve">Índice de reclamación comercial de acueducto </t>
  </si>
  <si>
    <t>Índice de reclamación comercial de Alcantarillado</t>
  </si>
  <si>
    <t>Índice de reclamación comercial de gas</t>
  </si>
  <si>
    <t>Aumentar el numero de suscriptores nuevos de los servicios de acueducto y alcantarillado</t>
  </si>
  <si>
    <t>Numero de nuevos suscriptores de acueducto</t>
  </si>
  <si>
    <t>Número de suscriptores nuevos de alcantarillado</t>
  </si>
  <si>
    <t>Número de suscriptores nuevos de acueducto</t>
  </si>
  <si>
    <t>Numero de nuevos suscriptores de alcantarillado</t>
  </si>
  <si>
    <t>Venta de Servicios Mensual - Devoluciones en Ventas</t>
  </si>
  <si>
    <t>Recaudo Mensual</t>
  </si>
  <si>
    <t xml:space="preserve">RESPONSABLE:   SUBGERENCIA DE PLANEACIÓN Y MEJORAMIENTO INSTITUCIONAL </t>
  </si>
  <si>
    <t>Garantizar que la gestión de la estructura tarifaria, la viabilización de proyectos de inversión, la información asociada y la gestión comunitaria institucional, se desarrollen de acuerdo  con la normatividad vigente y las políticas de la organización.</t>
  </si>
  <si>
    <t>Actualización del Sitio Web</t>
  </si>
  <si>
    <t>Actualización de funcionalidades de los módulos de los diferentes sistemas de información</t>
  </si>
  <si>
    <t>cantidad de actualizaciones</t>
  </si>
  <si>
    <t>Total de actualizaciones</t>
  </si>
  <si>
    <t>Cumplimiento requerimientos de Gobierno Digital</t>
  </si>
  <si>
    <t>Implementación de Plan Integral de atención virtual al usuario</t>
  </si>
  <si>
    <t xml:space="preserve">Implementación de herramientas tecnológicas para la atención de usuarios </t>
  </si>
  <si>
    <t xml:space="preserve">Recaudo Mensual </t>
  </si>
  <si>
    <t xml:space="preserve"> Venta de Servicios Mensual - Devoluciones en Ventas</t>
  </si>
  <si>
    <t>GESTIÓN DE SISTEMAS DE INFORMACIÓN.</t>
  </si>
  <si>
    <t>GESTIÓN TALENTO HUMANO</t>
  </si>
  <si>
    <t>Gestionar que el ingreso, la permanencia y el  retiro de personal de la organización,  se realice de acuerdo con los requerimientos internos y legales que rigen sobre la materia, de tal forma que contribuya  el logro de los objetivos institucionales.</t>
  </si>
  <si>
    <t>Establecer mecanismos que generen Bienestar Social a los trabajadores</t>
  </si>
  <si>
    <t>si</t>
  </si>
  <si>
    <t>Cumplimiento del programa de Bienestar Social</t>
  </si>
  <si>
    <t>Actividades ejecutadas</t>
  </si>
  <si>
    <t>Actividades programadas</t>
  </si>
  <si>
    <t>no</t>
  </si>
  <si>
    <t>GESTIÓN DE CALIDAD</t>
  </si>
  <si>
    <t>Garantizar la implementación y mantenimiento del Sistema de Gestión de la Calidad, conforme a la norma NTC GP 1000:2009.</t>
  </si>
  <si>
    <t>actualizar y aplicar el sistema de gestion de calidad.</t>
  </si>
  <si>
    <t>Nivel de apropiación del SGC</t>
  </si>
  <si>
    <t>N.procesos con sistema implementado</t>
  </si>
  <si>
    <t>Total de Procesos de la entidad</t>
  </si>
  <si>
    <t>PLANEACIÓN TÉCNICA Y AMBIENTAL</t>
  </si>
  <si>
    <t>Formulación, seguimiento y control de los grandes programas rectores de los servicios de acueducto y alcantarillado a cargo de la entidad, garantizado el cumplimiento de requisitos legales y metodológicos</t>
  </si>
  <si>
    <t>Actualizar el PMAA incorporando el plan integral.los compromisos de POIR, PSMV , PUEAA y plan de riesgos.</t>
  </si>
  <si>
    <t xml:space="preserve">Numero de planes actualizados </t>
  </si>
  <si>
    <t xml:space="preserve">Planes actualizados </t>
  </si>
  <si>
    <t>Seguimiento al cumplimiento del Plan de Saneamiento y Manejo de vertimientos</t>
  </si>
  <si>
    <t xml:space="preserve">Numero de seguimientos del Plan de Saneamiento y Manejo de vertimientos </t>
  </si>
  <si>
    <t>Seguimientos realizados al psmv</t>
  </si>
  <si>
    <t>Seguimiento del Programa de ahorro y uso eficiente del agua</t>
  </si>
  <si>
    <t>Número de seguimiento del  Programa de ahorro y uso eficiente del agua</t>
  </si>
  <si>
    <t>CONTROL INTERNO</t>
  </si>
  <si>
    <t>Garantizar la efectividad del Control Interno de la organización a través de la evaluación de los elementos del MECI, de las auditorías internas y mapas de riesgo, para coadyuvar al cumplimiento de la gestión institucional de acuerdo a la normatividad vigente y las políticas organizacionales</t>
  </si>
  <si>
    <t>Evaluar el estado de implementación del MECI en la organización, para establecer oportunidades de mejora</t>
  </si>
  <si>
    <t>Cumplimiento en la implementación de los componentes del MECI</t>
  </si>
  <si>
    <t>Total componentes que cumplen</t>
  </si>
  <si>
    <t>Total componentes evaluados</t>
  </si>
  <si>
    <t xml:space="preserve">Asegurar el cumplimiento del programa de auditorias internas aprobado por el Comité coordinador de Control Interno </t>
  </si>
  <si>
    <t>Cumplimiento al programa de auditorías internas</t>
  </si>
  <si>
    <t>Auditorías internas realizadas</t>
  </si>
  <si>
    <t>Auditorías internas programadas</t>
  </si>
  <si>
    <t>Seguimiento a los mapas de riesgos</t>
  </si>
  <si>
    <t>Número de mapas de riesgos evaluados</t>
  </si>
  <si>
    <t>Total mapas de riesgos</t>
  </si>
  <si>
    <t>GESTIÓN FINANCIERA</t>
  </si>
  <si>
    <t>Administrar eficientemente los recursos financieros de la entidad a través del presupuesto, contabilidad y tesorería, brindando información confiable y veraz que apoye el logro de los objetivos institucionales, cumpliendo la normatividad aplicable y las políticas de la organización.</t>
  </si>
  <si>
    <t>Aumentar la utilidad operacional de la empresa en términos de flujo de efectivo</t>
  </si>
  <si>
    <t>NO</t>
  </si>
  <si>
    <t>EBITDA</t>
  </si>
  <si>
    <t>Utilidad operaciónal antes de intereses e impuestos  + Depreciaciones + Amortizaciones (en miles)</t>
  </si>
  <si>
    <t xml:space="preserve">Aumentar el índice de liquidez </t>
  </si>
  <si>
    <t>Índice de liquidez</t>
  </si>
  <si>
    <t xml:space="preserve">Activo corriente </t>
  </si>
  <si>
    <t>Pasivo corriente</t>
  </si>
  <si>
    <t>Reducir el endeudamiento total de la empresa</t>
  </si>
  <si>
    <t>Endeudamiento total</t>
  </si>
  <si>
    <t>Pasivo total</t>
  </si>
  <si>
    <t>Activo total</t>
  </si>
  <si>
    <t>Garantizar la cobertura eficiente en la prestación de servicios de acueducto a través de las redes de distribución con altos estándares de calidad cantidad y continuidad cumpliendo con la normatividad aplicable y las políticas de la organización</t>
  </si>
  <si>
    <t xml:space="preserve">Aumentar la cobertura del servicio de acueducto  </t>
  </si>
  <si>
    <t>Cobertura de acueducto</t>
  </si>
  <si>
    <t>Total de Suscriptores del Servicio de Acueducto</t>
  </si>
  <si>
    <t>Numero de Viviendas Urbanas</t>
  </si>
  <si>
    <t>Reducir  el índice de riesgo de calidad del agua</t>
  </si>
  <si>
    <t>Calidad de acueducto (% IRCA)</t>
  </si>
  <si>
    <t>Garantizar la continuidad del servicio de acueducto las 24 horas del día</t>
  </si>
  <si>
    <t>Continuidad de servicio de acueducto</t>
  </si>
  <si>
    <t>Promedio de Horas  de Prestación del Servicio</t>
  </si>
  <si>
    <t>Elaborar el programa de control de perdidas tecnicas</t>
  </si>
  <si>
    <t>Reducir perdidas tecnicas</t>
  </si>
  <si>
    <t>M3 producidos -m3 facturados</t>
  </si>
  <si>
    <t>M3 producidos</t>
  </si>
  <si>
    <t>Reducir el número de reclamos operativos  de acueducto</t>
  </si>
  <si>
    <t xml:space="preserve">Índice de reclamación operativos de acueducto </t>
  </si>
  <si>
    <t>Número de Reclamaciones Operativos</t>
  </si>
  <si>
    <t>Número Total de Suscriptores Acueducto</t>
  </si>
  <si>
    <t xml:space="preserve">Realizar el  mantenimiento de redes  acueducto </t>
  </si>
  <si>
    <t>Numero de Reparaciones Realizadas</t>
  </si>
  <si>
    <t>Numero de Daños Reportados</t>
  </si>
  <si>
    <t>Optimizar  las redes  que hacen parte del sistema  de acueducto  que cumplieron con su vida útil</t>
  </si>
  <si>
    <t>Porcentaje de reposición de redes ejecutados</t>
  </si>
  <si>
    <t>ML  de Reposicion  Redes  Ejecutados</t>
  </si>
  <si>
    <t>Total de ML de Reposicion de Redes  Proyectado</t>
  </si>
  <si>
    <t>ACUEDUCTO</t>
  </si>
  <si>
    <t>RECOLECCIÓN, TRANSPORTE Y TRATAMIENTO DE AGUAS RESIDUALES (alcantarillado)</t>
  </si>
  <si>
    <t>Garantizar la cobertura eficiente en la prestación de servicios de alcantarillado  a través de las redes de recolección y transporte de aguas residuales y pluviales  y la remoción de contaminantes fisicoquímicos y biológicos  cumpliendo con la normatividad aplicable y las políticas de la organización</t>
  </si>
  <si>
    <t>Aumentar la cobertura del servicio de alcantarillado</t>
  </si>
  <si>
    <t>Cobertura de alcantarillado</t>
  </si>
  <si>
    <t>Número de suscriptores de alcantarillado</t>
  </si>
  <si>
    <t>Número total de viviendas urbanas</t>
  </si>
  <si>
    <t>Reducir  la brecha entre la cobertura de acueducto y alcantarillado</t>
  </si>
  <si>
    <t>Rezago de cobertura de alcantarillado frente a acueducto del prestador</t>
  </si>
  <si>
    <t xml:space="preserve">Porcentaje de cobertura nominal en acueducto (ICBNACi) –  Porcentaje de cobertura nominal en alcantarillado (ICBNALi)
</t>
  </si>
  <si>
    <t>Cumplimiento del Plan de Saneamiento y Manejo de Vertimientos (PSMV)</t>
  </si>
  <si>
    <t>ML  de reposición  redes  ejecutados</t>
  </si>
  <si>
    <t>Total de ML de reposición de redes  proyectado</t>
  </si>
  <si>
    <t>Porcentaje de avance en la construcción de colectores</t>
  </si>
  <si>
    <t>ML de colectores construidos</t>
  </si>
  <si>
    <t xml:space="preserve"> Total  de ML  de colectores proyectados</t>
  </si>
  <si>
    <t>Porcentaje de vertimientos eliminados</t>
  </si>
  <si>
    <t xml:space="preserve">Número de vertimientos eliminados </t>
  </si>
  <si>
    <t>Número total de vertimiento a eliminar en PSMV en el periodo</t>
  </si>
  <si>
    <t>Medición de las cargas entregadas en cada planta. Según el rango establecido por  la resolución 631 de 2015, para el Municipio de Buenavista</t>
  </si>
  <si>
    <t>Números parámetros cumplidos Buenavista</t>
  </si>
  <si>
    <t>Números de parámetros establecidos por resolución 631 de 2015 Buenavista</t>
  </si>
  <si>
    <t>Medición de las cargas entregadas en cada planta. Según el rango establecido por  la resolución 631 de 2015, para el Municipio de Salento</t>
  </si>
  <si>
    <t>Números parámetros cumplidos Salento</t>
  </si>
  <si>
    <t>Números de parámetros establecidos por resolución 631 de 2015 Salento</t>
  </si>
  <si>
    <t>Medición de las cargas entregadas en cada planta. Según el rango establecido por  la resolución 631 de 2015, para el Municipio de La Tebaida</t>
  </si>
  <si>
    <t>Números parámetros cumplidos La Tebaida</t>
  </si>
  <si>
    <t xml:space="preserve"> Números de parámetros establecidos por resolución 631 de 2015 La Tebaida</t>
  </si>
  <si>
    <t xml:space="preserve">Número de reclamos  operativos </t>
  </si>
  <si>
    <t>Índice de reclamación operativos de alcantarillado</t>
  </si>
  <si>
    <t>Número de reclamaciones operativos</t>
  </si>
  <si>
    <t xml:space="preserve">Número total de suscriptores  </t>
  </si>
  <si>
    <t xml:space="preserve"> OPERACIÓN Y MANTENIMIENTO REDES INTERNAS(GAS)</t>
  </si>
  <si>
    <t>Garantizar que la operación y mantenimiento de las redes internas domiciliarias cumplan con las especificaciones técnicas y normativas  de manera eficiente y segura.</t>
  </si>
  <si>
    <t xml:space="preserve">Medir y controlar los niveles de odorizante del GLP de manera que cumpla con los estándares de calidad </t>
  </si>
  <si>
    <t>Índice de odorización</t>
  </si>
  <si>
    <t>Número total de puntos de medición mensual de la concentración de odorante -  Número de puntos de medición por fuera del rango de referencia</t>
  </si>
  <si>
    <t>Número total de puntos de medición mensual de la concentración de odorante</t>
  </si>
  <si>
    <t>Brindar  un tiempo de reacción técnica menor a 24 horas después de ser reportado un PQR</t>
  </si>
  <si>
    <t>Índice de respuesta al servicio técnico</t>
  </si>
  <si>
    <t>Número total de solicitudes de servicio técnico atendidas dentro del tiempo de referencia establecido</t>
  </si>
  <si>
    <t>Número total de solicitudes de servicio técnico</t>
  </si>
  <si>
    <t xml:space="preserve">Atender con la mayor brevedad y eficiencias las emergencias de gas </t>
  </si>
  <si>
    <t>Atención de emergencias domiciliarias</t>
  </si>
  <si>
    <t>Número de emergencias domiciliarias atendidas</t>
  </si>
  <si>
    <t>Número de emergencias domiciliarias presentadas</t>
  </si>
  <si>
    <t xml:space="preserve">Brindarle a los usuarios  la facilidad de realizar las instalaciones de redes internas de gas </t>
  </si>
  <si>
    <t>Instalación de redes internas</t>
  </si>
  <si>
    <t>Instalaciones realizadas</t>
  </si>
  <si>
    <t>Solicitudes de instalación</t>
  </si>
  <si>
    <t>ALMACENAMIENTO(GAS)</t>
  </si>
  <si>
    <t>Garantizar la disponibilidad permanente de gas propano a los usuarios del servicio de manera eficiente y segura, cumpliendo con la normatividad aplicable y las políticas de la organización.</t>
  </si>
  <si>
    <t>Medir el consumo mensual de gas GLP</t>
  </si>
  <si>
    <t xml:space="preserve">Capacidad (cantidad) de almacenamiento en tanques </t>
  </si>
  <si>
    <t>Garantizar disponibilidad de gas para el consumo diario de los usuarios</t>
  </si>
  <si>
    <t>Disponibilidad de almacenamiento</t>
  </si>
  <si>
    <t>Cantidad de horas promedio de disponibilidad de gas al mes</t>
  </si>
  <si>
    <t>(24 horas x 30 dias) : 720</t>
  </si>
  <si>
    <t>OPERACIÓN Y MANTENIMIENTO REDES EXTERNAS(GAS)</t>
  </si>
  <si>
    <t>Garantizar la cobertura eficiente en la prestación del servicio de gas domiciliario a través de las redes de distribución  con altos estándares de calidad, cantidad y continuidad  cumpliendo con  la normatividad aplicable y las políticas de la organización.</t>
  </si>
  <si>
    <t>Conocer el estado de la presión de las viviendas individuales con el fin de mejorar las condiciones del servicio</t>
  </si>
  <si>
    <t>Índice de presión en líneas Individuales</t>
  </si>
  <si>
    <t>Número de puntos de medición por fuera del rango de presiones de referencia</t>
  </si>
  <si>
    <t>Número total de puntos de medición de la muestra seleccionados mensualmente</t>
  </si>
  <si>
    <t>Garantizar la prestación continua del servicio evitando al máximo interrupciones que afecten  a usuario</t>
  </si>
  <si>
    <t>Continuidad del servicio</t>
  </si>
  <si>
    <t>Número total de horas promedio de prestación del servicio de gas al mes</t>
  </si>
  <si>
    <t>(24 horas x 30 días) : 720</t>
  </si>
  <si>
    <t>Aumentar la cobertura del servicio de gas en un 5 % en los cuatro municipios de la cordillera</t>
  </si>
  <si>
    <t>Cobertura servicio de gas</t>
  </si>
  <si>
    <t xml:space="preserve"> Suscriptores del servicio </t>
  </si>
  <si>
    <t>Número de viviendas urbanas</t>
  </si>
  <si>
    <t xml:space="preserve">Atender con la mayor brevedad y efectividad  las emergencias de gas </t>
  </si>
  <si>
    <t>Atención de emergencias redes externas</t>
  </si>
  <si>
    <t>Número de emergencias atendidas en la red</t>
  </si>
  <si>
    <t>Número de emergencias presentadas en la red</t>
  </si>
  <si>
    <t>Rotación de almacenamiento (capacidad almacenamiento/volumen de salida de tanques en 90 dias)</t>
  </si>
  <si>
    <t>Volumen consumido en tanques de los últimos 3 meses</t>
  </si>
  <si>
    <t>Menor o igual a 5</t>
  </si>
  <si>
    <t xml:space="preserve"> Garantizar la producción de agua potable para consumo humano con el mínimo índice de pérdidas  de acuerdo con los parámetros legales establecidos y las políticas de la organización. </t>
  </si>
  <si>
    <t>Reducir las pérdidas de agua dentro del sistema de tratamiento</t>
  </si>
  <si>
    <t>Si</t>
  </si>
  <si>
    <t>% Pérdidas técnicas en el sistema de tratamiento</t>
  </si>
  <si>
    <t>Garantizar la  producción de agua potable las 24 horas del día</t>
  </si>
  <si>
    <t>Continuidad de producción de agua potable</t>
  </si>
  <si>
    <t>M3 agua  de agua a la entrada - M3 de agua a la salida</t>
  </si>
  <si>
    <t>M3 agua a la entrada</t>
  </si>
  <si>
    <t>Número de horas de prestación del servicio</t>
  </si>
  <si>
    <t>Numero de horas  totales del mes</t>
  </si>
  <si>
    <t>PRODUCCIÓN DE AGUA POTABLE</t>
  </si>
  <si>
    <t>Seguimiento a los Planes de Mejoramiento  suscritos con Entes de Control</t>
  </si>
  <si>
    <t>Numero de Planes de Mejoramiento suscritos</t>
  </si>
  <si>
    <t>Numero de planes de Mejoramiento con seguimiento</t>
  </si>
  <si>
    <t>Reducir el porcentaje de pérdidas comerciales.</t>
  </si>
  <si>
    <t>Eficiencia en la legalización de usuarios</t>
  </si>
  <si>
    <t xml:space="preserve">Reducir el porcentaje de pérdidas comerciales. </t>
  </si>
  <si>
    <t>Eficiencia en la instalación de micromedidores</t>
  </si>
  <si>
    <t>Realizar el seguimiento a las acciones correctivas planteadas en los Planes de mejoramiento suscritos con la Entidad.</t>
  </si>
  <si>
    <t>Mantenimiento correctivo y preventivo de acuerdo a la necesidad</t>
  </si>
  <si>
    <t>Seguimientos realizados al PUEAA</t>
  </si>
  <si>
    <t>Fecha  de emisión: 04/04/2023</t>
  </si>
  <si>
    <t>INFORMACIÓN DE ACTIVIDADES EJECUTADAS</t>
  </si>
  <si>
    <t>ANALISIS DE PRODUCTOS ENTREGADOS Y GESTIONES ADELANTADAS PARA DAR CUMPLIMIENTO A LA META</t>
  </si>
  <si>
    <t>SOPORTES QUE EVIDENCIAN EL CUMPLIMIENTO</t>
  </si>
  <si>
    <t>Porcentaje de Meta alcanzada  (acumulada)</t>
  </si>
  <si>
    <t>% EFICACIA</t>
  </si>
  <si>
    <t>perspectiva estrategica</t>
  </si>
  <si>
    <t xml:space="preserve">ACTIVIDADES </t>
  </si>
  <si>
    <t>Fecha Inicio (día-mes-año)</t>
  </si>
  <si>
    <t>Fecha Fin (día-mes-año)</t>
  </si>
  <si>
    <t xml:space="preserve">Ejecutar el plan anual de capacitaciones </t>
  </si>
  <si>
    <t>Porcentaje de cumplimiento del plan anual de capacitaciones</t>
  </si>
  <si>
    <t>Actividades desarrolladas</t>
  </si>
  <si>
    <t>cumplimiento de avances del codigo de integridad.</t>
  </si>
  <si>
    <t>Porcentaje de cumplimiento de avances del codigo de Integridad.</t>
  </si>
  <si>
    <t>Implementación del Plan de Talento Humano Modernización de la  Estructura de organizacional</t>
  </si>
  <si>
    <t xml:space="preserve">Numero de fases ejecutadas </t>
  </si>
  <si>
    <t>Numero total de fases (5)</t>
  </si>
  <si>
    <t>Calidad del agua (% IRCA)a la salida de planta</t>
  </si>
  <si>
    <t>Número muestras satisfactorias</t>
  </si>
  <si>
    <t>n.total de muestras</t>
  </si>
  <si>
    <t>menor o igual a 5</t>
  </si>
  <si>
    <t>meta 2023</t>
  </si>
  <si>
    <t>Realizar seguimiento a los mapas de riesgos presentados por los  lideres de procesos.</t>
  </si>
  <si>
    <t xml:space="preserve">Total cargues mensuales de trámites de la Empresa </t>
  </si>
  <si>
    <t>% Logro abril</t>
  </si>
  <si>
    <t>% Logro agosto</t>
  </si>
  <si>
    <t>% Logro diciembre</t>
  </si>
  <si>
    <t xml:space="preserve">Dar cumplimiento al plan de auditoria y seguimiento a los planes de mejoramiento </t>
  </si>
  <si>
    <t xml:space="preserve">Realizar seguimiento periodico a  plan de mejoramiento suscrito con el ente de control </t>
  </si>
  <si>
    <t xml:space="preserve">Dar cumplimiento al plan de auditoria vigencia 2023 </t>
  </si>
  <si>
    <t>Basados en que la Norma Técnica de Calidad de la Gestión Pública (NTC GP 1000) ,  se fundamenta en el interés de  promover la mejora en la calidad y el desempeño de los servicios y productos ofrecidos a la ciudadanía. Se hace necesario utilizar una herramienta de gestión que permita dirigir y evaluar el desempeño institucional en términos de calidad y satisfacción social, mediante la adaptación de un enfoque basado en procesos y procedimientos actualizados e incorporados desde la normatividad vigente y aterrizados al Nuevo Modelo Integrado de Planeación y Gestión – MIPG,  donde se puedan gestionar una serie de actividades relacionadas entre sí, que permitan tener un control continuo sobre los procesos individuales de la entidad y  a la vez lograr una mirada Holistica, que los entrelace e interconecte como uno solo y formen parte de la organización cómo un todo.  Mediante este enfoque entenderemos el funcionamiento de nuestra entidad, como un engranaje  donde se promueve la mejora continua , y se logre la apropiación de un Sistema de Calidad efectivo.</t>
  </si>
  <si>
    <t>33.33%</t>
  </si>
  <si>
    <t>5059800-4002943</t>
  </si>
  <si>
    <t xml:space="preserve">cada año se mejore el porcentaje de cumplimiento </t>
  </si>
  <si>
    <t xml:space="preserve">Recibir la informacion oportuna con el fin de dar cumplimiento a los requerimientos  de  la ley 1474 de 2011 </t>
  </si>
  <si>
    <t>Realizar seguimiento y cargue a los quince (15) trámites inscritos en la plataforma SUIT, los 12 meses de la vigencia, y reportarlo cuatrimestralmente.</t>
  </si>
  <si>
    <t>En este cuatrimestre  no se ha adelantado en esta actividad</t>
  </si>
  <si>
    <t>Se realizó la Rendición de Cuentas a la Contraloría General del Quindio en la plataforma SIA  dando cumpliemiento a todo lo requerido en la Resolución 008 de 2023. Se realizó la Audiencia Pública de la Rendición de la cuenta el día 19 de julio de 2023.</t>
  </si>
  <si>
    <t>Se realizó de forma satisfactoria las dos actividades propuestas para la Rendición de la cuenta. Se cargó a la plataforma de la Contraloría cada uno de los formatos solicitados dentro del plazo estabelcido para tal fin. De igual forma, se realizó de forma exitosa la audiencia pública de rendición de cuentas.</t>
  </si>
  <si>
    <t>se reciben solicitudes para el portal web de la entidad para actualizar los campos que brindan información a los usuarios cumpliendo con la ley 1712 de 2014 como son noticias, boletines, informes de gestión, notificaciones entre otros.</t>
  </si>
  <si>
    <t>Con el fin de cumplir la meta estípulada se tiene disponible un canal de comunicación por medio del correo electrónico el cual llegan todas las solicitudes que se ejecutan en un lapso de 24 horas, de igual forma se tiene a disposición un profesional del área encargado de realizar las actividades en mención para dar cumplimiento a dichas solicitudes.</t>
  </si>
  <si>
    <t xml:space="preserve">
 Ver Evidencias 1
</t>
  </si>
  <si>
    <t>A la fecha se han implementado las actualizaciones mencionadas con el fin de suplir las necesidades que requiere la entidad</t>
  </si>
  <si>
    <t xml:space="preserve"> Ver Evidencia 2                </t>
  </si>
  <si>
    <t>El porcentaje de cumplimiento para este trimestre es bueno ya que se lleva un alto nivel antes de finalizar el presente año</t>
  </si>
  <si>
    <t>se han realizado ajustes en los Planes Institucionales y se publicaron en el sitio web cumpliendo con los lineamientos que solicita gobierno digital, como es el Plan Estratégico de las Tecnologías de la Información - PETI y las Politicas de seguridad y Privacidad de la información</t>
  </si>
  <si>
    <t>se realizan modificaciones en los planes institucionales y se publicaron en el sitio web solicitadas por el gobierno nacional y la entidad EPQ con el fin de dar cumplimiento a las metas estipuladas en el presente año</t>
  </si>
  <si>
    <t>Ver Evidencias 3
(Se encuentran en archivo digital enviado por el proceso)
https://epq.gov.co/index.php/es/transparencia-y-acceso-a-la-informacion/politicas-planes-y-programas/politicas.html
https://epq.gov.co/index.php/es/nuestra-gestion/politicas-planes-programas-y-proyectos-institucionales/politicas-planes-y-programas.html</t>
  </si>
  <si>
    <t>se viene adelantando modificaciones en el sitio web para mejorar el cumplimiento y llegar a la meta estípulada para el presente año</t>
  </si>
  <si>
    <t>se brinda soporte y mantenimiento a todos los sitios de trabajo de cada subgerencia de la entidad conforme al cronograma de actividades adjunto a este documento, se atienden solicitudes de configuración e instalación de equipos o periféricos a cada subgerencia, se realizan instalaciones de conexión de cableado de red</t>
  </si>
  <si>
    <t>se tiene habilitado un sistema de comunicación por medio del correo electrónico para atender las solicitudes de los funcionarios y dar solución a sus requerimientos, de igual forma se maneja un formato normalizado para almacenar la información de los servicios realizados por parte del área de sistemas</t>
  </si>
  <si>
    <t xml:space="preserve">Ver Evidencias 4                                                                         </t>
  </si>
  <si>
    <t>desde sistemas siempre ha tenido a disposición el personal capacitado y adecuado para brindar las soluciones que requiera la entidad dando respuestas en el menor tiempo posible</t>
  </si>
  <si>
    <t xml:space="preserve">con la implementación del software nuevo de NEXIS la entidad cuenta con 5 herramientas tecnológicas para la atención a usuarios los cuales están en fase de implementación, estos son Ventanilla Única, el desprendible del descargue de nómina, descargue de factura desde el sitio web, pagos en linea por PSE y el chat en el sitio web.
de los mencionados ya se tiene operando 2 los cuales son: Pago en linea por PSE y el Chat en Sitio web (Nota: el chat en el sitio web no tiene personal que lo opere) </t>
  </si>
  <si>
    <t>se tiene habilitado un canal de comunicación por medio del correo electrónico para resolver dudas o solicitar inducción para fortalecer el uso de las herramientas tecnológicas en la medida que se vaya interactuando.</t>
  </si>
  <si>
    <t xml:space="preserve">Ver Evidencias 5    </t>
  </si>
  <si>
    <t xml:space="preserve">La Subgerencia de Comercialización realizó proceso de facturación conforme a los cronogramas estipulados y establecio los canales de pago (Sedes - Pagos PSE - facilisimo) para los periodos de facturación de de los meses enero febrero y marzo, </t>
  </si>
  <si>
    <t xml:space="preserve">subgerencia, es de anotar que en relacion al servicio de gas se encuentra pendiente la habilitacion en el sistema para la legalizacion de las respectivas matriculas, por tal razon no ha sido posible el registro de nuevos usuarios; es de anotar que la informacion aqui suministrada se realiza conforme software NEXIS </t>
  </si>
  <si>
    <t xml:space="preserve">La subgerencia de comercializacion ha venido enviando los respectivos cobros persuasivos, de igual manera se a realizado las respectivas suspenciones del servicio con el fin de que el usuario solucione su situacion financiera </t>
  </si>
  <si>
    <t xml:space="preserve">La Subgerencia de comercialización, en atencion a las peticiones, quejas y reclamos que son radicadas a la entidad se procede a dar respuesta de manera idonia y dentro de los terminos pertinentes, es pertinente señalar que el en el municipio de pijao se a presentado multiples reclamaciones por la implatacion de la tarifa del servicio de acueducto y alcantarillado </t>
  </si>
  <si>
    <t>La subgerencia de comercialización ha desplazado a personal operativo y administrativo a las zonas donde se han detectado conexiones ilegales, ha notificado a los usaurios, y los ha instado para su legalización, además ha realizado los cortes respectivos de dichas conexiones ilegales.</t>
  </si>
  <si>
    <t xml:space="preserve">La subgerencia de comercialización ha notificado usuarios que se encuentran DCC y usuarios que tienen micromedidores en mal estado, al cual se le han relaziado las respectivas instalaciones bien sea por parte de la empresa y/o por parte del usuario </t>
  </si>
  <si>
    <t xml:space="preserve">Se garantiza la disponibilidad de gas para el consumo diario realizando el suministro de gas GLP a los 4 Municipios </t>
  </si>
  <si>
    <t>Tener actualizado el poir de los Municipios</t>
  </si>
  <si>
    <t>realizar las actividades</t>
  </si>
  <si>
    <t>balance de prueba</t>
  </si>
  <si>
    <t>medidas antifraudulentos, ajuste de tarifas ipc, austeridad en el gasto de funcionamiento, costos eficientes y entre otros exoneracion de costos e impuestos financieros para las cuentas bancarias de la entidad</t>
  </si>
  <si>
    <t>recuperacion de cartera por parte del area encargada</t>
  </si>
  <si>
    <t>Correcto reconocimiento de los hechos economicos que afectan las cuentas del activo y pasivo</t>
  </si>
  <si>
    <t>Se relizó el seguimiento al cumplimiento del Plan de Saneamiento y Manejo de vertimientos PSMV y se presentaron los respectivos informes a la autoridad ambiental CRQ</t>
  </si>
  <si>
    <t>Se realizo el seguimiento al Plan de Uso Eficiente y Ahorro del Agua PUEAA y se hizo su respectivo informe</t>
  </si>
  <si>
    <t>Se actualizó el PMAA incorporando el plan integral los compromisos de POIR, PSMV , PUEAA y plan de riesgos de los municipios pendientes para esta vigencia</t>
  </si>
  <si>
    <t>Se cuenta con la actualización de los PMAA de los municipios que estaban pendientes (Circasia y La Tebaida)</t>
  </si>
  <si>
    <t>En los archivos de  la Subgerencia de Planeacion y Mejoramiento Institucional reposa el oficio remisorio con sus respectivos anexos corerespondiente a los seguientos de los PSMV para el primer semestre del 2023
Radicado interno No. 3360</t>
  </si>
  <si>
    <t xml:space="preserve">El seguimiento al Plan de Uso Eficiente y Ahorro del Agua PUEAA fue entregado a la CRQ mediante oficio remisorio con radicado 3555 de 2023 </t>
  </si>
  <si>
    <t>En esta Vigencia 2023 se inicia con una linea base de tres (3) Planes Actualizados y se dá cumplimiento a la Meta proyectada, con la actualización de los tres Planes restantes,  es decir con un total de seis (6)  planes actualizados.</t>
  </si>
  <si>
    <t>Para esta Vigencia 2023 se realizó los dieciocho (18) Seguimientos en el cumplimiento del Plan de Saneamiento y Manejo de vertimientos PSMV y se presentaron los respectivos informes a la autoridad ambiental CRQ dando cumplimiento a la Meta proyectada.</t>
  </si>
  <si>
    <t>En esta Vigencia 2023 Se realizarón los dos (2) seguimientos al Plan de Uso Eficiente y Ahorro del Agua PUEAA con su respectivo informe, lo cual estaba proyectado en la meta  para este año.</t>
  </si>
  <si>
    <r>
      <t xml:space="preserve"> Se hizo la solicitud de reporte de información de trámites a los procesos competentes, para el cargue en la plataforma del SUIT. * Se realizo el cargue en el aplicativo, de los dos (2) trámites inscritos al proceso de Planeacion Técnica y Ambiental  y el de los trece (13) tramites correpondientes a la Subgerencia de Comercialización de Servicios y Atención al Cliente, es de resaltar que dichos cargues corresponden a los periodos reportados y certificados por los procesos: *</t>
    </r>
    <r>
      <rPr>
        <b/>
        <sz val="9"/>
        <color theme="1"/>
        <rFont val="Tahoma"/>
        <family val="2"/>
      </rPr>
      <t>planeación técnica y ambiental</t>
    </r>
    <r>
      <rPr>
        <sz val="9"/>
        <color theme="1"/>
        <rFont val="Tahoma"/>
        <family val="2"/>
      </rPr>
      <t xml:space="preserve"> y la </t>
    </r>
    <r>
      <rPr>
        <b/>
        <sz val="9"/>
        <color theme="1"/>
        <rFont val="Tahoma"/>
        <family val="2"/>
      </rPr>
      <t>subgerencia de comercialización de servicios y atención al cliente</t>
    </r>
    <r>
      <rPr>
        <sz val="9"/>
        <color theme="1"/>
        <rFont val="Tahoma"/>
        <family val="2"/>
      </rPr>
      <t xml:space="preserve"> en los meses de septiembre, octubre, noviembre y diciembre de 2023, dicho cargue esta soportado con la información entregada por cada proceso en el tramite respectivo y el mes correspondiente.   Ademas en este reporte cuatrimestral la subgerencia de comercialización de servicios y atención al cliente, entregó evidencias en los diferentes tramites para los periodos informados.</t>
    </r>
  </si>
  <si>
    <t xml:space="preserve">Se realizó desde el Proceso de Planeación Corporativa la Gestión para contar con la información requerida para los cargues al Aplicativo SUITde los meses correspondientes al tercer cuatrimestre 2023,  La Empresa cuenta con 15 trámites inscritos, donde dos (2) trámites los reporta el proceso de Planeación Técnica y Ambiental y los otros trece (13) son competencia de la Subgerencia de Comercialización De Servicios Y Atención Al Cliente, es indispensable contar con la información de manera mensual para tener el cargue actualizado en cada cuatrimestre, lo anterior para su efectiva públicación y tener dispuesto el aplicativo SUIT, con la información requerida desde el nivel central . </t>
  </si>
  <si>
    <t xml:space="preserve">Se cuenta con las certificaciones de los tramites reportados por el proceso de Planeación Técnica y Ambiental y de la Subgerencia de Comercialización de Servicios y Atención al Cliente, además esta última subgerencia para este cuatrimestre, entregó los soportes y evidencias de los tramites reportados, se encuentran archivados en el Expediente de Tramites SUIT 2023, y en el equipo dispuesto para el P.u responsable del cargue, de la Subgerencia de Planeación y Mejoramiento Institucional, proceso planeación corporativa, también se puede evidenciar los cargues correspondientes en el aplicativo dispuesto por el DNP. https://www.funcionpublica.gov.co/web/suit ,  (se evía escaneo en PDF de las evidencias del proceso). </t>
  </si>
  <si>
    <t>Medición de Abril</t>
  </si>
  <si>
    <t>Medición de Agosto</t>
  </si>
  <si>
    <t>Medición Diciembre</t>
  </si>
  <si>
    <t>realizar el seguimiento y enviar los informes a tiempo a la gerencia para que puedan tomar decisiones a tiempo, tarea que sea vuelto muy dificil por el incumplimiento en los periodos de la mayoria de los procesos.</t>
  </si>
  <si>
    <t xml:space="preserve"> Alcanzar las metas propuestas para la Rendición de Cuentas de la Contraloria Departamental y la Audencia Pública a la Comunidad.</t>
  </si>
  <si>
    <t>Se envia adjunto el radicado de la cuenta a la Contraloría y el link del  Informe de la Audiencia Pública de Rendición de cuentas vigencia 2022 es el siguiente: https://www.epq.gov.co/images/PLANEACION/2023/informe-rendicion-de-ctas-2022.pdf</t>
  </si>
  <si>
    <t xml:space="preserve">La meta alcanzada de septiembre  a diciembre de 2023 es de 26,32% , lo que muestra un avance superior de cumplimiento para el tiempo reportado, ya que para los 12 meses del año se tiene una meta calculada del 25% (=100% Meta 2023-75% Linea Base 2022). Cabe resaltar que se ha venido dando cumplimiento en la actualización y aplicación del SGC como se evidencia  en las actividades reportadas, no obstante con el nuevo sistema de Nexis se debe ampliar el alcance de la meta ya que requieren muchos procedimientos y registros ser ajustados y actualizados nuevamente.   </t>
  </si>
  <si>
    <t>Las evidencias reposan en archivos fisicos expedientes del SGC, y/o digitales del Proceso de Planeación Corporativa de la Subgerencia de Planeación y Mejoramiento Institucional, el cual tiene a disposición el email exclusivo para el SGC , calidadepq@gmail.com,  calidadepq1@gmail.com tambien en documentos publicados en la pagina de epq en algunos link:  como   https://www.epq.gov.co/index.php/es/nuestra-gestion/politicas-planes-programas-y-proyectos-institucionales/politicas-planes-y-programas.html , https://www.epq.gov.co/index.php/es/transparencia-y-acceso-a-la-informacion/politicas-planes-y-programas.html,       https://www.epq.gov.co/index.php/es/nuestra-gestion/politicas-planes-programas-y-proyectos-institucionales/politicas-planes-y-programas.html,  https://www.epq.gov.co/index.php/es/transparencia-y-acceso-a-la-informacion/plan-anticorrupcion.html                                                       Se hace entrega de evidencia en un archivo con documentos en PDF debidamente normalizados desde el proceso competente y de los pantallazos de la Gestión realizada por email. Cabe resaltar que la evidencia se esta organizando para ser cargada en una Unidad de Almacenamiento compartido, llamada Nash.</t>
  </si>
  <si>
    <t xml:space="preserve">La funcion publica publico los resultados de  la encuesta  que evaluo  la gestion del desempeño atraves del aplicativo FURAG, dando como resultado : ambiente de control: 67.5- evaluacion estrategica del riesgo  79.1- actividades de control efectivas 71.4 actividades de monitoreo sistematicas 84.1 informacion y comunicacion 66.7 estos valores estan por encima del valor media de referencia . dichos resultados se encuentran publicados en la pagina web de EPQ en el ink de informes de gestion y evaluacion y auditoria </t>
  </si>
  <si>
    <t>socializacion de los resultados  a traves comité de gestion y desempeño reposan en la oficina de planeacion</t>
  </si>
  <si>
    <t>https://www.epq.gov.co/images/control%20interno/2023/resultados_meci_epq.pdf</t>
  </si>
  <si>
    <t xml:space="preserve">Se evidencia el acta No. 007 del 21 de Noviembre   de 2023- el acta 008 del 6  de diciembre   de 2023  las cuales reposan en el archivo de la oficina de control interno </t>
  </si>
  <si>
    <t xml:space="preserve">Actas del comité coordinador de control interno  </t>
  </si>
  <si>
    <t xml:space="preserve">De acuerdo con el plan de auditoria aprobado por el comité coordinador de control interno se realizo auditoria a los siguientes procesos Talento humano, planeacion y laboratorio de ensayo y calidad del agua </t>
  </si>
  <si>
    <t xml:space="preserve">Se realizo la instalacion de la auditoria se firmo el acta de apertura se   envio el plan de auditoria, la carta de compromiso la carta de representacion, se envio el informe preliminar que contine los posibles hallazgos  se presentaron las acciones correctivas y el correspondiente seguimiento  </t>
  </si>
  <si>
    <t xml:space="preserve">Se evidencia en la carpeta auditoria  talento humano, planeacion y la auditoria de laboratorio de ensayo y calidad del agua  se encuentra en ejecucion </t>
  </si>
  <si>
    <t>El informe de los mapas de riesgos de corrupcion  correspondiente al segundo  cuatrimestre de 2023 fue publicado en la pagina web de EPQ  dentro de los 10 dias del mes de septiembre en  el siguiente link : https://www.epq.gov.co/images/control%20interno/2023/AGOSTO_INFORME_RIESGOS_DE_CORRUPCION_1_2023.pdf</t>
  </si>
  <si>
    <t>El informe de los mapas de riesgos de corrupcion  correspondiente al segundo cuatrimestre de 2023 fue publicado en la pagina web de EPQ en  el siguiente link : https://www.epq.gov.co/images/control%20interno/2023/abril_NFORME_RIESGOS_DE_CORRUPCION_1_2023.pdf</t>
  </si>
  <si>
    <t xml:space="preserve">Se reporta el informe de riesgos correspondiente al segundo  cuatrimestre de 2023  </t>
  </si>
  <si>
    <t xml:space="preserve">Se solicito a todos los procesos competentes el reporte de seguimiento al Plan de Acción, correspondiente al tercer cuatrimestre 2023,  para dar cumplimiento a los tiempos establecidos por la entidad, se hizo de manera oficial el 28 de diciembre con fecha de  entrega del 8 de enero del año 2024, no obstante se deja aclaración que los primeros de noviembre también se pidio entrega a los procesos de reportar los avances con corte al 30 de noviembre de sus indicadores en la matriz diseñada y normalizada con las evidencias que soporten la información, esto se hizo a través del Comite de Desempeño Institucional y mediante mesas de trabajo a traves de Actas elaboradas. </t>
  </si>
  <si>
    <t>se enviaron los oficios y se recopilo las matrices con las evidencias enviadas para su consolidación.</t>
  </si>
  <si>
    <t>Las envidencias reposan en el archivo de la Subgerencia de Planeación Y Mejoramiento Institucional en su proceso de Planeación Corporativa bajo los expedientes de Seguimiento al Plan de Acción 2023 y Actas Comité de Desempeño.</t>
  </si>
  <si>
    <t xml:space="preserve">Actualización de Manuales de procesos y Procedimientos  y  sus diferentes documentos como protocolos, Guias, Formatos, instructivos, politicas, planes y demas documentos propios de cada Proceso de la Entidad ,  se han realizado observaciones a cada proceso para que las actualizaciones esten articuladas desde: el marco de MIPG,  la parte técnica del proceso,  el real hacer del proceso, la normatividad vigente, la actualización de responsabilidad basado en la nueva Reestructuración de EPQ y manual de funciones.                Se hizo acompañamiento algunas areas como la *Subgerencia Administrativa y Financiera , donde se normalizo documentos de los siguientes procesos: ( *Gestión Aministrativa:El Instructivo Control De Combustible De Vehículos Y/O Maquinaria , Informe de Supervisión de Contrato de Suministro y Compraventa y Supervisión de Contrato de Arrendamiento, en el Area De Gestión Documental: todo lo referente a los requerimientos para las TRD (Programa de Gestión Documental PGD, Propuesta Metodologica) en el proceso de *Contabilidad: las politicas contables  * *Subgerencia de Comercialización de Servicios y Atención al cliente, se normalizo encuesta de satisfacción del usuario para dar cumplimiento al Furag,  en la *Subgerencia de Servicios Públicos se normalizó los Manuales de las plantas de tratamiento de agua potable,  en la * Secretaria General se normalizó el Informe de Supervisión de Contratos de Prestación de Servicios, Y  para  la *Subgerencia de Planeación y Mejoramiento Institucional se  normalizó documentos en los procesos de:  ( *Laboratorio de ensayo y calidad de agua, *), y la caracterización en todos los procesos , también se actualizo/elaboró, se normalizo, aprobo y publico la Poltica de Gestión Documental, la Politica Cero Papel y la Politica Contable Propiedad Planta y Equipo.      Se realizaron entregas mediante correo digital , whatsaap  y/o medio fisico, al area respectiva, se deja documentos en archivo fisico y/o digital , y se está organizando por procesos los documentos para ser subidos a la Nash,  cabe anotar que se utilizó el formato de solicitud de emisión para la normalización y socialización de los documentos, dejando identificado si eran actualizados , elaborados o cancelados . </t>
  </si>
  <si>
    <t>se realizan tomas mensuales en los cuatro municipios del donde se presta el servicio de gas GLP, Cordoba, Pijao, Buenavista, y Genova; utilizando el equipo medidor de particulas odorante HODORHANDY para detectar ETILMERCAPTANO aplicado al gas GLP desde las plantas de Ecopetrol. Se realizan 260 tomas de enero a noviembre</t>
  </si>
  <si>
    <t>Se presentaron  117 solicitudes por parte de los usuarios en los 4 municipios en donde se presta el servicio tecnico con dos tecnicos de gas duranto los meses de enero a noviembre</t>
  </si>
  <si>
    <t>Se presentaron 16 solicitudes de emergencias en redes internas</t>
  </si>
  <si>
    <t>Se realizan 17  instalaciones nuevas distribuidas en los municipios de Cordoba, Pijao,  Buenavista y Genova</t>
  </si>
  <si>
    <t>Se realizan tanqueos aproximadamente cada 13 a 20 dias,   con un maximo de llenado de 90% por tanque y un minimo de volumen de gas existente en los tanques de almaceamiento entre 30 y 50%
El indicador de confiabilidad de almacenamiento definido por la Resolución CREG 072 de 2002, modificada por la Resolución CREG 034 de 2004, fue definido por la CREG para ser evaluado por la Auditoría Externa de Gestión y Resultados AEGR. Para el caso particular de empresas del Estado, esta labor deberá ser realizada por la oficina de Control Interno de la Empresa.
    El indicador definido en el artículo 2.6 de las resoluciones ibidem, está definido para los grandes comercializadores de gas GLP. Para el caso particular de EPQ S.A. ESP, este indicador no debería aplicar, ya que la empresa sólo es distribuidor.  CAPACIDAD DE ALMACENAMIENTO / VOLUMEN CONSUMIDO * POR 330 DIAS SON LOS once MESES - De tal manera el cumplimiento indica que en los tres meses se consumio el 84% de la capacidad total de almacenamiento, y quedo un 16% en el sistema, sin aplicar la resolucion anteriormente mensionada. Se debe cambiar el calculo del indicador por municipio.</t>
  </si>
  <si>
    <t>Segun la resolucion 100 de 2003 CREG  el IPLI =(NP-NFR/NP)*100. Se debe realizar la toma de presion en lineas individuales con un manometro de baja garantizando la toma dentro de la vivienda; con un rango de 23 a 35 mbar. De acuerdo a la resolucion CREG 035 del año 2020. ARTÍCULO 2. SUSPENSIÓN DE LA OBLIGACIÓN DE REPORTE DE LOS ÍNDICES DE ODORIZACIÓN, IO Y DE PRESIÓN EN LÍNEAS INDIVIDUALES, IPLI AL SUI. SE REALIZO EN EL CUATRIMESTE 260 MUESTRAS DENTRO DEL RANGO DE REFERENCIA.</t>
  </si>
  <si>
    <t xml:space="preserve">Según la resolucion No100 de 2003 CREG  Articulo 3 duracion equivalente de interrupcion del servicio, el valor de referencia es Cero, toda interrupcion  DES= SUMATORIA DEL TIEMPO DE DURACION DE LA INTERRUPCION DE TODAS LAS INTERRUPCIONES DEL SERVICIO.  </t>
  </si>
  <si>
    <t>se cuenta con 3661 usuarios facturados al mes de noviembre
En el proceso de operación y mantenimiento el objetivo correspondiente “Aumentar la cobertura del servicio de gas en un 5 % en los cuatro municipios de la cordillera”. Esta meta ya fue superada a diciembre de 2022, por lo anterior se recomienda incrementar un 1% al valor actual como próximo número de suscriptores del año 2023</t>
  </si>
  <si>
    <t xml:space="preserve">Se presentaron 5 emergencias </t>
  </si>
  <si>
    <t>Ejecución de Programa de mantenimiento  de las plantas, revision de vávulas y compuertas, instalación de macromedidoras por parte de la subgerencia de servicios publicos, registros de operación.</t>
  </si>
  <si>
    <t xml:space="preserve"> Ejecución del programa de mantenimiento,  gestión para el suministro oportuno de los insumos necesarios para la producción de agua potable; programación de personal para asegurar la continuidad en la operación de las plantas</t>
  </si>
  <si>
    <t>Se realizan seguimientos diarios mediante determinación de parámetros de caracteristicas del agua (pH, Temperatura); se realizan mantenimientos diarios :desarenadores, rejas de cribado, limpieza general de las plantas</t>
  </si>
  <si>
    <t>A la fecha se ha realizado quince actualizaciones y mejoras, especialmente en la Plataforma del nexis que es la que mas requerimientos han solicitado los usuarios</t>
  </si>
  <si>
    <t>de acuerdo al trabajo realizado se puede evidenciar que se está cumpliendo la meta del trabajo en un 100%, el cual ha sido logrado por utilizar las herramientas tecnológicas como medio de comunicación para las solicitudes realizadas</t>
  </si>
  <si>
    <t>Este indicador financieros debe dismunuir con el transcurrir del año debido a que es apenas en los meses finales que se reconocen y generan erogaciones necesarios o que por la caracteristica de la misma solo se pagan finalizando el periodo</t>
  </si>
  <si>
    <t>Desde la Subgerencia administrativa y financiera, se advierte la necesidad de recuperar cartera, esto con el fin de mantener y seguir mejorando el nivel de liquidez</t>
  </si>
  <si>
    <t>Items como impuestos, tasas y contribuciones causados en el transcurso del año, se van pagando periodicamente, situcion que proyecta de manera positiva este indice.</t>
  </si>
  <si>
    <t>Trabajar en coherencia con la oficina de presupuesto para realizar un seguimiento y vigilancia constante a las erogaciones necesarias de la empresa con el fin de no superar los limites planteados presupuestalmente</t>
  </si>
  <si>
    <t xml:space="preserve">Ahondar en una eficiente política de recuperación de cartera, como principal impulsor de los activos corrientes de la empresa, situación que incrementará el índice. </t>
  </si>
  <si>
    <t xml:space="preserve">Se espera que el pasivo de la entidad como impuestos, tasas y pasivos laborales disminuya a fin de año lógicamente, lo que generaría una situación positiva para el indicador.  </t>
  </si>
  <si>
    <t>Se genero la debida facturación de cada Municipio, como se realizo contrato con Facilisimo para el recaudo a los usuarios le queda mas facil y mas tiempo para hacercarse a realizar el pago de la factura</t>
  </si>
  <si>
    <t>se realiza un control de cada solicitud de Matricula, con el fin de verificar que cumplan con la documentación solicitada para el servicio a requerir</t>
  </si>
  <si>
    <t>El profesional a cargo de este proceso, revisa constantemente la plataforma y envia a los lectores a verificar en campo</t>
  </si>
  <si>
    <t>Con la implementacion del nuevo Software NEXIS, la auxiliar administrativa ingresa todas las reclamaciones a la plataforma para enviar a  una  revisión con los lectores y pronta solución al usuario.</t>
  </si>
  <si>
    <t>La tecnico administrativa revisa la plataforma NEXIS para llevar una base de datos, luego envia los lectores a realizar la visita tecnica con registro fotografico, para poder hacerle la notoficación al usuario y dar inicio al proceso de legalidad</t>
  </si>
  <si>
    <t xml:space="preserve">las evidencias se encuentran en la plataforma NEXIS, se anexa informe reportado de cada mes </t>
  </si>
  <si>
    <t>La auxiliar administrativa encargada de realizar la Matricula lleva una base de datos de los servicios nuevos generados a cada municipio, y el soporte queda en la plataforma NEXIS</t>
  </si>
  <si>
    <t>las evidencias se encuentran en la plataforma NEXIS, se anexa  imágenes de algunas solicitudes. Y la Tecnico de PQR maneja un semaforo con dichas solicitudes.</t>
  </si>
  <si>
    <t>La tecnico administrativa, envia a realizar las salidas tecnicas, para verificar ilegalidades, luego se le notifica al usuario y se le da un plaza para realizar el tramite de legalización</t>
  </si>
  <si>
    <t xml:space="preserve">Se espera terminar de ejecutar las actividades para cumplir la meta </t>
  </si>
  <si>
    <t>Se espera terminar de ejecutar las activiades para cumplir la meta</t>
  </si>
  <si>
    <t>Para el cuatrimestre se realizaron 9 actividades:    Celebración de los Cumpleaños,  cada mes se continuo con el mensaje  de cumpleaños para cada cumpleañero; Se realizo un Tamizaje Cardiovascular;Se realizo Charla sobre “ESTRÉS LABORAL” Y “PAUSA ACTIVA”; Simulacro Nacional 2023; FIESTA DE HALLOWEN NIÑOS; DÍA MUNDIAL DE LA SALUD MENTAL; BIENVENIDA NAVIDAD EPQ; y se enviaron mensajes por Whatsapp</t>
  </si>
  <si>
    <t>Las Evidencias reposan en el proceso responsable. Fotos de cada actividad. Se envían estas evidencias al correo.</t>
  </si>
  <si>
    <t>se realizaron las siguientes   capacitaciones dentro de plan de capacitaciones: 7 Capacitaciones sobre: APLICACIÓN DE BATERÍAS DE RIESGO PSICOSOCIAL, dirigida a los funcionarios sede principal; CAPACITACIÓN MANEJO DE EXTINTORES; CAPACITACIÓN FUNCIÓN PÚBLICA; APLICACIÓN DE BATERÍAS DE RIESGO PSICOSOCIAL, dirigida a los lectores; 1.	APLICACIÓN DE BATERÍAS DE RIESGO PSICOSOCIAL, dirigida a los servidores de Montenegro, Tebaida,Plantas; CONGRESO SEMANA 29 DE LA SALUD OCUPACIONAL; CAPACITACIÓN DE MIPG FUNCIÓN PÚBLICA “MODELO INTEGRADO DE PLANEACIÓN Y GESTIÓN”</t>
  </si>
  <si>
    <t>En este cuatrimestre se realizo 1 actividades del Codigo de Integridad, la cual se repartio en los tres meses reportados, en septiembre se realizo en la subgerencia de Servicios Publicos y la Oficina de Gestion Administrativa, en octubre se realizo a los lectores, en noviembre se se realizo a los funcionarios de La Tebaida, El Edén, Laboratorio y Coordinación de Montenegro.</t>
  </si>
  <si>
    <t xml:space="preserve">Las Evidencias reposan en el proceso responsable. Fotos de cada actividad. Se envían estas evidencias al correo. </t>
  </si>
  <si>
    <t xml:space="preserve">No hay evidencias entregadas por el proceso  a noviembre ya que no se ejecuto actividades para esa fecha </t>
  </si>
  <si>
    <t xml:space="preserve"> I IRCA como indicador de gestión de EPQ,  por parte de control interno se realiza seguimiento al plan de accion que involucra a todos los procesos que tienen relación con el IRCA. reinducción a operarios, </t>
  </si>
  <si>
    <t>DANE 2005  y suscriptores otorgados por la oficina de comercial</t>
  </si>
  <si>
    <t>se extrae de los resultados de laboratorio realizados por la empresa</t>
  </si>
  <si>
    <t>se recolecta de las suspenciones del sevicio de acueducto reportados al SUI de caranter mernsial</t>
  </si>
  <si>
    <t>se extrae de los metros cubicos facturados entregados por la oficina de comercial y los metros cubicos producidos otorgados en plantas</t>
  </si>
  <si>
    <t>los datos se entregan realizando una revicion a las PQRs remitidas a la subgerencia de acueducto y alcantarillado</t>
  </si>
  <si>
    <t>los coordinadores municipales entregan a la subegencia de acueducto y alcantarillado el reporte de daños  y reparaciones de carácter mensual</t>
  </si>
  <si>
    <t>se extrae de los contratos de obra en la vigencia de este reporte</t>
  </si>
  <si>
    <t>Para el presente periodo no se programo ni se contrato la construcción de colectores</t>
  </si>
  <si>
    <t xml:space="preserve">Para el presente periodo no se programo ni se contrato la construcción de colectores por consiguiente no hay vertimientos eliminados </t>
  </si>
  <si>
    <t>La informacion es consolidad según los PQRs que ingresan a la subgerencia para su respectivo tramite y diligenciamiento</t>
  </si>
  <si>
    <t>Ejecuciòn programa de mantenimientpo de los equipos electricos, electronicos y electromecanicos;  ejecuciòn  de programa de capacitaciones por acompañamiento</t>
  </si>
  <si>
    <t>Reportes de plantas, registro de mantenimiento,  borrador del PSA en elaboración</t>
  </si>
  <si>
    <t>Identificación de situaciones especificas, Evaluación  e identificación de recursos necesarios y solicitud de los mismos a la subgerencia de servicios públicos</t>
  </si>
  <si>
    <t>Mantenimiento de las instalaciones fìsicas de las plantas</t>
  </si>
  <si>
    <t>Registros de operación,   informes de mantenimiento, acts de reuniones semanales de la oficina de producción de agua potable. Borrador del documento PSA</t>
  </si>
  <si>
    <t xml:space="preserve">Actas de reunion, registros en Whats app, registros en bitacoras </t>
  </si>
  <si>
    <t xml:space="preserve">Formatos de registro diario de datos, bitacoras </t>
  </si>
  <si>
    <t>realizar el seguimeinto y enviar los informes a tiempo a la gerencia para que puedan tomar decisiones a tiempo.</t>
  </si>
  <si>
    <t>La cobertura en acueducto se encuentra en funcion del censo DANE 2005 y los usuarios actuales</t>
  </si>
  <si>
    <t>contamos con cobertura completa en los 9 municipios</t>
  </si>
  <si>
    <t>el indice de Risgo de calidad el agua es inferior a la meta establecida</t>
  </si>
  <si>
    <t>los parametros de calidad del agua se encuentran en los rangos optimos para consumo humano</t>
  </si>
  <si>
    <t>La continuidad en el servicio de acueducto se reporta dentro de los parametros normales por suspenciones no programadas no avisadas</t>
  </si>
  <si>
    <t>Actuando de manera oportuna ante cualquier daño presentado en cada municipio y optimizando la Red</t>
  </si>
  <si>
    <t xml:space="preserve">el indice de agua no contabilizada se encuentra dentro de los parametros normales establecidos </t>
  </si>
  <si>
    <t>Instalando Macromedidores a la entrada y salidad de la planta asi como en la red de distribución</t>
  </si>
  <si>
    <t>el indice de reclamacion en acueducto se encuentra en parametros muy bajos de reclamación cumpliendo con la meta establecida</t>
  </si>
  <si>
    <t>el indice de reclamacion se encuentra muy debajo de la meta establecida</t>
  </si>
  <si>
    <t>Cada reporte dedaño es atendido de manera inmediata según programacion de los fontaneros</t>
  </si>
  <si>
    <t>se atienden todas las solicitudes de los usuarios por concepto de daños</t>
  </si>
  <si>
    <t>en el periodo aunque se iniciaron obras en acueducto, estas no presentan un avance de instalacion de tuberias a la fecha de los presentes indicadores</t>
  </si>
  <si>
    <t>se monitorea constantemente la instalacion de redes con los planes de mejoramiento como el POIR</t>
  </si>
  <si>
    <t>La cobertura en alcantarillado se encuentra en funcion del censo DANE 2005 y los usuarios actuales</t>
  </si>
  <si>
    <t xml:space="preserve">se ampliara la instalacion de redes en sectores donde no hay cobertura </t>
  </si>
  <si>
    <t>La cobertura en acueducto y alcantarillado se encuentra en funcion del censo DANE 2005 y los usuarios actuales, de ahí se toma el indicador del rezago solicitado</t>
  </si>
  <si>
    <t>se reporta el avance de ejecucion de obras ejecutadas a la fecha y el avance de tuberia instalada</t>
  </si>
  <si>
    <t>Se realizará la contratacion de colectores para cumplir con esta meta</t>
  </si>
  <si>
    <t>Con la construccion de colectores eliminaremos los puntos de vertimiento proyectados</t>
  </si>
  <si>
    <t>Se observa en el periodo una disminucion considerable en la reduccion de reclamaciones operativas en alcantarillad cumpliendo con la meta establecida para el periodo</t>
  </si>
  <si>
    <t>se realizan tomas mensuales en los cuatro municipios del donde se presta el servicio de gas GLP, Cordoba, Pijao, Buenavista, y Genova; utilizando el equipo medidor de particulas odorante HODORHANDY para detectar ETILMERCAPTANO aplicado al gas GLP desde las plantas de Ecopetrol. Se realizan 260 tomas</t>
  </si>
  <si>
    <t>Reportes de planta vía whats app, planillas de registro de operación por municipio, planilla de control y ordenes de trabajo  que ingresan a la subgerencia para su respectivo tramite y diligenciamiento (Evidencias reposan en el proceso responsable).</t>
  </si>
  <si>
    <t>Se presentaron 117 solicitudes por parte de los usuarios en los 4 municipios en donde se presta el servicio tecnico con dos tecnicos de gas duranto los meses de mayo a agosto.</t>
  </si>
  <si>
    <t xml:space="preserve">Se presentaron 16 solicitudes de emergencias por fuga de regualdor en el centro de medición en el municipio de Cordoba, el personal tecnico, tuvo un tiempo de respuesta inferiro a 1 hora. </t>
  </si>
  <si>
    <t>Se realizan 17 instalaciones nuevas distribuidas en los municipios de Cordoba, Buenavista y Genova</t>
  </si>
  <si>
    <t>se extrae del contrato de suministro 009 de 2023 en la vigencia de este reporte (Evidencias en el proceso responsable), los formatos de suministro y de lecturas diarias reposan en el area de servicios Publicos, el cual se controla el inventario y estado de las plantas de Gas.</t>
  </si>
  <si>
    <t>usuarios y suscriptores otorgados por la oficina de comercial (Evidencias en el proceso responsable). La continuidad del servicio correspode a la cantidad de horas que los usuarios contaron con el servicio durante los cuatro meses, teniendo en cuenta el tiempo de afectacion de emergencias; teniendo en cuenta que hay cero emergencias externas la continuidad fue del 100%. las presiones y odorizacion son tomadas con el manometro y equipo de medicion de Etilmercaptano y , las evidencias reposan en la subgerencia de servicios publicos, responsable del proceso.</t>
  </si>
  <si>
    <t xml:space="preserve">Según la resolucion No100 de 2003 CREG  Articulo 3 duracion equivalente de interrupcion del servicio, el valor de referencia es Cero, toda interrupcion  DES= SUMATORIA DEL TIEMPO DE DURACION DE LA INTERRUPCION DE TODAS LAS INTERRUPCIONES DEL SERVICIO. </t>
  </si>
  <si>
    <t>se cuenta con 3661 usuarios facturados al mes de abril</t>
  </si>
  <si>
    <t>Se presentaron  117 solicitudes por parte de los usuarios en los 4 municipios en donde se presta el servicio tecnico con dos tecnicos de gas duranto los meses de mayo a agosto.</t>
  </si>
  <si>
    <t>Se realizan 17 instalaciones nuevas distribuidas en los municipios de Cordoba, Buenavista y Genova.
En el proceso de operación y mantenimiento redes internas (GAS) el objetivo correspondiente “Instalación de redes internas”. Se solicita que este indicador sea trasladado a la subgerencia comercial de la entidad, teniendo en cuenta que esta dependencia hace el control de la solicitud del servicio y matricula.</t>
  </si>
  <si>
    <t>Se realizan tanqueos aproximadamente cada 13 a 20 dias,   con un maximo de llenado de 90% por tanque y un minimo de volumen de gas existente en los tanques de almaceamiento entre 30 y 50%
El indicador de confiabilidad de almacenamiento definido por la Resolución CREG 072 de 2002, modificada por la Resolución CREG 034 de 2004, fue definido por la CREG para ser evaluado por la Auditoría Externa de Gestión y Resultados AEGR. Para el caso particular de empresas del Estado, esta labor deberá ser realizada por la oficina de Control Interno de la Empresa.
    El indicador definido en el artículo 2.6 de las resoluciones ibidem, está definido para los grandes comercializadores de gas GLP. Para el caso particular de EPQ S.A. ESP, este indicador no debería aplicar, ya que la empresa sólo es distribuidor.  CAPACIDAD DE ALMACENAMIENTO / VOLUMEN CONSUMIDO * POR 330 DIAS SON LOS cuatro MESES - De tal manera el cumplimiento indica que en los once meses se consumio el 84% de la capacidad total de almacenamiento, y quedo un 16% en el sistema, sin aplicar la resolucion anteriormente mensionada. Se debe cambiar el calculo del indicador por municipio.</t>
  </si>
  <si>
    <t xml:space="preserve">Se presento 5 emergencias </t>
  </si>
  <si>
    <t>Se realizan tanqueos aproximadamente cada 13 a 20 dias,   con un maximo de llenado de 90% por tanque y un minimo de volumen de gas existente en los tanques de almaceamiento entre 30 y 50%
El indicador de confiabilidad de almacenamiento definido por la Resolución CREG 072 de 2002, modificada por la Resolución CREG 034 de 2004, fue definido por la CREG para ser evaluado por la Auditoría Externa de Gestión y Resultados AEGR. Para el caso particular de empresas del Estado, esta labor deberá ser realizada por la oficina de Control Interno de la Empresa.
    El indicador definido en el artículo 2.6 de las resoluciones ibidem, está definido para los grandes comercializadores de gas GLP. Para el caso particular de EPQ S.A. ESP, este indicador no debería aplicar, ya que la empresa sólo es distribuidor.  CAPACIDAD DE ALMACENAMIENTO / VOLUMEN CONSUMIDO * POR 330 DIAS SON LOS omce MESES - De tal manera el cumplimiento indica que en los cuatro meses se consumio el 84% de la capacidad total de almacenamiento, y quedo un 16% en el sistema, sin aplicar la resolucion anteriormente mensionada. Se debe cambiar el calculo del indicador por municipio.</t>
  </si>
  <si>
    <t xml:space="preserve">Se solicita infromacion al area de facturacion de la subgerencia de comercilizacion de servicios y atencion al cliente, quienes entregan informacion de numero de usuarios mes a mes del sistema de acuedcto </t>
  </si>
  <si>
    <t xml:space="preserve">se solicita infromacion de IRCA al laboratrio de la entidad, el cual entrega el registro mensual por municipio de los aprametros y resultados analizados para la calidad del agua en ese periodo </t>
  </si>
  <si>
    <t>mediante la informacion recopilada de suspensiones mes a mes por municipio la cual es reportada en SUI mensual, se realiza el diligenciamiento en el soporte anexo "continuidad" de las horas de suspension y usuarios afectados, para asi obtener la continuidad "horas mes" cuatrimestal por  municipio.</t>
  </si>
  <si>
    <t>se solicita informe de facturacion al area de sistemas la cual  es generados desde la plataforma NEXIS, la cual nos suminista las cantida de m3 facturados de agua potable mes por mes, y asi mismo se solicita a la ofina de plantas la cantidad de m3 producidos por mes.</t>
  </si>
  <si>
    <t xml:space="preserve">desde la subgerencia de servicios publicos se realiza un seguimiento y control de los solicitudes que ingresan mediante una base de datos de registro, tanto de acueducto como de alcantarillado. </t>
  </si>
  <si>
    <t>mediante las ordenes de trabajo los coordinadores de cada municipio  realizan el seguimiento de actividades ejecutadas diariamente por personal operativo de la subgerencia de servicios publicos domiciliarios tanto de acueducto como de alcantarillado.</t>
  </si>
  <si>
    <t>se realiza compilacion de informacion de los contratos de obra suscritos por la entidad, en donse se registra la informacion de tuberia principal de acuducto o alcantarillado que se va a ajecutar en cada contrato. Asi mismo se realiza el registro de tuberia principal instalada por el personal de cuadrilla de la entidad. Para las proyecciones se extrae la informacion de las proyeccciones del POIR y el PSMV</t>
  </si>
  <si>
    <t>Se solicita infromacion al area de facturacion de la subgerencia de comercilizacion de servicios y atencion al cliente, quienes entregan informacion de numero de usuarios mes a mes del sistema de acuedcto y alcantarillado</t>
  </si>
  <si>
    <t xml:space="preserve">se realiza el registro de usuarios de acuducto y alcantarillado,  en el consolidado de indice de gestion de alcantarllado, realizado el balance entre usuarios del sistema de acueducto y alcantarillado. </t>
  </si>
  <si>
    <t>linea base 2022</t>
  </si>
  <si>
    <t>-</t>
  </si>
  <si>
    <t>608-100</t>
  </si>
  <si>
    <t>se monitorea constantemente la instalacion de redes ( se realizaron 1835,84 en la vigencia 2023)con los planes de mejoramiento como el POIR</t>
  </si>
  <si>
    <t>la meta establecida era el 56% y se obtuvo un acumulado del 42,26% razón por la cual no se llego sino a un 75% de meta acumulada para esta vigencia</t>
  </si>
  <si>
    <t>( si bien es cierto este indicador quedo un cumplimiento del 92% la norma establece todos los Irca por debajo de del 5%, esto quiere decir que no se cumplio y que puede generar que si en el acumulado semestral nos da por encima del 5 % se deben hacer devoluciones)aunque la meta este en el 90% en este indicador.</t>
  </si>
  <si>
    <t>Versión: 04</t>
  </si>
  <si>
    <t>PLAN DE ACCIÓN   -  VIGENCIA 2023</t>
  </si>
  <si>
    <t>Fecha  de emisión: 18/05/2021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</si>
</sst>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8" formatCode="&quot;$&quot;\ #,##0.00_);[Red]\(&quot;$&quot;\ #,##0.00\)"/>
    <numFmt numFmtId="44" formatCode="_(&quot;$&quot;\ * #,##0.00_);_(&quot;$&quot;\ * \(#,##0.00\);_(&quot;$&quot;\ * &quot;-&quot;??_);_(@_)"/>
    <numFmt numFmtId="43" formatCode="_(* #,##0.00_);_(* \(#,##0.00\);_(* &quot;-&quot;??_);_(@_)"/>
    <numFmt numFmtId="164" formatCode="_-&quot;$&quot;* #,##0.00_-;\-&quot;$&quot;* #,##0.00_-;_-&quot;$&quot;* &quot;-&quot;??_-;_-@_-"/>
    <numFmt numFmtId="165" formatCode="0.0%"/>
    <numFmt numFmtId="166" formatCode="0.000%"/>
    <numFmt numFmtId="167" formatCode="&quot;$&quot;\ #,##0.00"/>
    <numFmt numFmtId="168" formatCode="0.0000%"/>
    <numFmt numFmtId="169" formatCode="_(* #,##0_);_(* \(#,##0\);_(* &quot;-&quot;??_);_(@_)"/>
    <numFmt numFmtId="170" formatCode="&quot;$&quot;\ #,##0"/>
    <numFmt numFmtId="171" formatCode="_(&quot;$&quot;\ * #,##0_);_(&quot;$&quot;\ * \(#,##0\);_(&quot;$&quot;\ * &quot;-&quot;??_);_(@_)"/>
  </numFmts>
  <fonts count="15">
    <font>
      <sz val="11"/>
      <color theme="1"/>
      <name val="Calibri"/>
      <family val="2"/>
      <scheme val="minor"/>
    </font>
    <font>
      <sz val="11"/>
      <color indexed="8"/>
      <name val="Calibri"/>
      <family val="2"/>
    </font>
    <font>
      <sz val="11"/>
      <color indexed="8"/>
      <name val="Helvetica Neue"/>
    </font>
    <font>
      <b/>
      <sz val="9"/>
      <name val="Tahoma"/>
      <family val="2"/>
    </font>
    <font>
      <sz val="9"/>
      <name val="Tahoma"/>
      <family val="2"/>
    </font>
    <font>
      <sz val="11"/>
      <color theme="1"/>
      <name val="Calibri"/>
      <family val="2"/>
      <scheme val="minor"/>
    </font>
    <font>
      <sz val="9"/>
      <color theme="1"/>
      <name val="Tahoma"/>
      <family val="2"/>
    </font>
    <font>
      <sz val="9"/>
      <color rgb="FF000000"/>
      <name val="Tahoma"/>
      <family val="2"/>
    </font>
    <font>
      <b/>
      <sz val="9"/>
      <color theme="1"/>
      <name val="Tahoma"/>
      <family val="2"/>
    </font>
    <font>
      <sz val="9"/>
      <color indexed="8"/>
      <name val="Tahoma"/>
      <family val="2"/>
    </font>
    <font>
      <u/>
      <sz val="11"/>
      <color theme="10"/>
      <name val="Calibri"/>
      <family val="2"/>
      <scheme val="minor"/>
    </font>
    <font>
      <u/>
      <sz val="9"/>
      <color theme="10"/>
      <name val="Tahoma"/>
      <family val="2"/>
    </font>
    <font>
      <sz val="8"/>
      <color theme="1"/>
      <name val="Tahoma"/>
      <family val="2"/>
    </font>
    <font>
      <sz val="10"/>
      <color theme="1"/>
      <name val="Calibri"/>
      <family val="2"/>
      <scheme val="minor"/>
    </font>
    <font>
      <sz val="10"/>
      <color indexed="8"/>
      <name val="Tahoma"/>
      <family val="2"/>
      <charset val="1"/>
    </font>
  </fonts>
  <fills count="4">
    <fill>
      <patternFill patternType="none"/>
    </fill>
    <fill>
      <patternFill patternType="gray125"/>
    </fill>
    <fill>
      <patternFill patternType="solid">
        <fgColor theme="0"/>
        <bgColor indexed="64"/>
      </patternFill>
    </fill>
    <fill>
      <patternFill patternType="solid">
        <fgColor theme="8" tint="0.3999755851924192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right/>
      <top style="medium">
        <color indexed="64"/>
      </top>
      <bottom/>
      <diagonal/>
    </border>
    <border>
      <left/>
      <right/>
      <top style="thin">
        <color indexed="64"/>
      </top>
      <bottom/>
      <diagonal/>
    </border>
    <border>
      <left/>
      <right style="medium">
        <color indexed="64"/>
      </right>
      <top/>
      <bottom style="medium">
        <color indexed="64"/>
      </bottom>
      <diagonal/>
    </border>
  </borders>
  <cellStyleXfs count="13">
    <xf numFmtId="0" fontId="0" fillId="0" borderId="0"/>
    <xf numFmtId="0" fontId="1" fillId="0" borderId="0"/>
    <xf numFmtId="0" fontId="1" fillId="0" borderId="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0" fontId="2" fillId="0" borderId="0" applyNumberFormat="0" applyFill="0" applyBorder="0" applyProtection="0">
      <alignment vertical="top"/>
    </xf>
    <xf numFmtId="0" fontId="5" fillId="0" borderId="0"/>
    <xf numFmtId="9"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0" fontId="10" fillId="0" borderId="0" applyNumberFormat="0" applyFill="0" applyBorder="0" applyAlignment="0" applyProtection="0"/>
  </cellStyleXfs>
  <cellXfs count="420">
    <xf numFmtId="0" fontId="0" fillId="0" borderId="0" xfId="0"/>
    <xf numFmtId="0" fontId="6" fillId="2" borderId="0" xfId="0" applyFont="1" applyFill="1"/>
    <xf numFmtId="0" fontId="4" fillId="2" borderId="0" xfId="0" applyFont="1" applyFill="1"/>
    <xf numFmtId="0" fontId="6" fillId="3" borderId="2" xfId="0" applyFont="1" applyFill="1" applyBorder="1" applyAlignment="1">
      <alignment horizontal="center" wrapText="1"/>
    </xf>
    <xf numFmtId="0" fontId="6" fillId="3" borderId="3" xfId="0" applyFont="1" applyFill="1" applyBorder="1" applyAlignment="1">
      <alignment wrapText="1"/>
    </xf>
    <xf numFmtId="0" fontId="6" fillId="3" borderId="4" xfId="0" applyFont="1" applyFill="1" applyBorder="1" applyAlignment="1">
      <alignment wrapText="1"/>
    </xf>
    <xf numFmtId="0" fontId="6" fillId="3" borderId="5" xfId="0" applyFont="1" applyFill="1" applyBorder="1" applyAlignment="1">
      <alignment wrapText="1"/>
    </xf>
    <xf numFmtId="0" fontId="6" fillId="3" borderId="3" xfId="0" applyFont="1" applyFill="1" applyBorder="1"/>
    <xf numFmtId="0" fontId="6" fillId="3" borderId="4" xfId="0" applyFont="1" applyFill="1" applyBorder="1"/>
    <xf numFmtId="2" fontId="6" fillId="2" borderId="1" xfId="0" applyNumberFormat="1" applyFont="1" applyFill="1" applyBorder="1" applyAlignment="1">
      <alignment horizontal="center" vertical="center"/>
    </xf>
    <xf numFmtId="43" fontId="6" fillId="2" borderId="1" xfId="3" applyFont="1" applyFill="1" applyBorder="1" applyAlignment="1">
      <alignment horizontal="center"/>
    </xf>
    <xf numFmtId="1" fontId="4" fillId="2" borderId="1" xfId="9" applyNumberFormat="1" applyFont="1" applyFill="1" applyBorder="1" applyAlignment="1">
      <alignment horizontal="center" vertical="center"/>
    </xf>
    <xf numFmtId="0" fontId="4" fillId="2" borderId="1" xfId="9" applyNumberFormat="1" applyFont="1" applyFill="1" applyBorder="1" applyAlignment="1">
      <alignment horizontal="center" vertical="center"/>
    </xf>
    <xf numFmtId="170" fontId="6" fillId="2" borderId="1" xfId="9" applyNumberFormat="1" applyFont="1" applyFill="1" applyBorder="1" applyAlignment="1">
      <alignment horizontal="center" vertical="center" wrapText="1"/>
    </xf>
    <xf numFmtId="1" fontId="6" fillId="2" borderId="1" xfId="3" applyNumberFormat="1" applyFont="1" applyFill="1" applyBorder="1" applyAlignment="1">
      <alignment horizontal="center" vertical="center" wrapText="1"/>
    </xf>
    <xf numFmtId="169" fontId="6" fillId="2" borderId="1" xfId="3" applyNumberFormat="1" applyFont="1" applyFill="1" applyBorder="1" applyAlignment="1">
      <alignment horizontal="center" vertical="center"/>
    </xf>
    <xf numFmtId="0" fontId="6" fillId="2" borderId="0" xfId="0" applyFont="1" applyFill="1" applyAlignment="1">
      <alignment wrapText="1"/>
    </xf>
    <xf numFmtId="0" fontId="4" fillId="2" borderId="1" xfId="0" applyFont="1" applyFill="1" applyBorder="1" applyAlignment="1">
      <alignment horizontal="center"/>
    </xf>
    <xf numFmtId="1" fontId="7" fillId="2" borderId="1" xfId="9" applyNumberFormat="1" applyFont="1" applyFill="1" applyBorder="1" applyAlignment="1">
      <alignment horizontal="center" vertical="center"/>
    </xf>
    <xf numFmtId="0" fontId="7" fillId="2" borderId="1" xfId="9" applyNumberFormat="1" applyFont="1" applyFill="1" applyBorder="1" applyAlignment="1">
      <alignment horizontal="center" vertical="center"/>
    </xf>
    <xf numFmtId="169" fontId="6" fillId="2" borderId="1" xfId="3" applyNumberFormat="1" applyFont="1" applyFill="1" applyBorder="1" applyAlignment="1">
      <alignment horizontal="center"/>
    </xf>
    <xf numFmtId="167" fontId="6" fillId="2" borderId="1" xfId="9" applyNumberFormat="1" applyFont="1" applyFill="1" applyBorder="1" applyAlignment="1">
      <alignment vertical="center" wrapText="1"/>
    </xf>
    <xf numFmtId="0" fontId="6" fillId="2" borderId="1" xfId="9" applyNumberFormat="1" applyFont="1" applyFill="1" applyBorder="1" applyAlignment="1">
      <alignment horizontal="center" vertical="center" wrapText="1"/>
    </xf>
    <xf numFmtId="9" fontId="6" fillId="2" borderId="1" xfId="9" applyFont="1" applyFill="1" applyBorder="1" applyAlignment="1">
      <alignment horizontal="center" vertical="center"/>
    </xf>
    <xf numFmtId="0" fontId="4" fillId="2" borderId="1" xfId="0" applyFont="1" applyFill="1" applyBorder="1" applyAlignment="1">
      <alignment horizontal="center" vertical="center"/>
    </xf>
    <xf numFmtId="10" fontId="6" fillId="2" borderId="1" xfId="9" applyNumberFormat="1" applyFont="1" applyFill="1" applyBorder="1" applyAlignment="1">
      <alignment horizontal="center" vertical="center" wrapText="1"/>
    </xf>
    <xf numFmtId="9" fontId="6" fillId="2" borderId="1" xfId="0" applyNumberFormat="1" applyFont="1" applyFill="1" applyBorder="1" applyAlignment="1">
      <alignment horizontal="center" vertical="center"/>
    </xf>
    <xf numFmtId="0" fontId="6" fillId="2" borderId="1" xfId="0" applyFont="1" applyFill="1" applyBorder="1" applyAlignment="1">
      <alignment horizontal="left"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9" fontId="6" fillId="2" borderId="1" xfId="0" applyNumberFormat="1" applyFont="1" applyFill="1" applyBorder="1" applyAlignment="1">
      <alignment horizontal="center" vertical="center" wrapText="1"/>
    </xf>
    <xf numFmtId="9" fontId="6" fillId="2" borderId="1" xfId="9" applyFont="1" applyFill="1" applyBorder="1" applyAlignment="1">
      <alignment horizontal="center" vertical="center" wrapText="1"/>
    </xf>
    <xf numFmtId="0" fontId="9" fillId="2" borderId="1" xfId="1"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2" borderId="1" xfId="0" applyFont="1" applyFill="1" applyBorder="1" applyAlignment="1">
      <alignment horizontal="center"/>
    </xf>
    <xf numFmtId="1" fontId="6" fillId="2" borderId="1" xfId="9" applyNumberFormat="1" applyFont="1" applyFill="1" applyBorder="1" applyAlignment="1">
      <alignment horizontal="center" vertical="center" wrapText="1"/>
    </xf>
    <xf numFmtId="14" fontId="6" fillId="2" borderId="1" xfId="0" applyNumberFormat="1" applyFont="1" applyFill="1" applyBorder="1" applyAlignment="1">
      <alignment horizontal="center" vertical="center"/>
    </xf>
    <xf numFmtId="1" fontId="6" fillId="2" borderId="1" xfId="0" applyNumberFormat="1" applyFont="1" applyFill="1" applyBorder="1" applyAlignment="1">
      <alignment horizontal="center" vertical="center"/>
    </xf>
    <xf numFmtId="165" fontId="6" fillId="2" borderId="1" xfId="0" applyNumberFormat="1" applyFont="1" applyFill="1" applyBorder="1" applyAlignment="1">
      <alignment horizontal="center" vertical="center"/>
    </xf>
    <xf numFmtId="0" fontId="9" fillId="0" borderId="0" xfId="1" applyFont="1"/>
    <xf numFmtId="0" fontId="6" fillId="0" borderId="0" xfId="0" applyFont="1"/>
    <xf numFmtId="10" fontId="6" fillId="2" borderId="1" xfId="9" applyNumberFormat="1" applyFont="1" applyFill="1" applyBorder="1" applyAlignment="1">
      <alignment horizontal="center" vertical="center"/>
    </xf>
    <xf numFmtId="0" fontId="6" fillId="2" borderId="1" xfId="9" applyNumberFormat="1" applyFont="1" applyFill="1" applyBorder="1" applyAlignment="1">
      <alignment horizontal="center" vertical="center"/>
    </xf>
    <xf numFmtId="2" fontId="6" fillId="2" borderId="1" xfId="0" applyNumberFormat="1" applyFont="1" applyFill="1" applyBorder="1" applyAlignment="1">
      <alignment horizontal="center"/>
    </xf>
    <xf numFmtId="9" fontId="6" fillId="0" borderId="1" xfId="9" applyFont="1" applyFill="1" applyBorder="1" applyAlignment="1">
      <alignment horizontal="center" vertical="center" wrapText="1"/>
    </xf>
    <xf numFmtId="2" fontId="6" fillId="2" borderId="1" xfId="3" applyNumberFormat="1"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5" xfId="0" applyFont="1" applyFill="1" applyBorder="1" applyAlignment="1">
      <alignment horizontal="center"/>
    </xf>
    <xf numFmtId="0" fontId="6" fillId="0" borderId="0" xfId="0" applyFont="1" applyAlignment="1">
      <alignment horizontal="center"/>
    </xf>
    <xf numFmtId="165" fontId="6" fillId="0" borderId="0" xfId="0" applyNumberFormat="1" applyFont="1" applyAlignment="1">
      <alignment horizontal="center"/>
    </xf>
    <xf numFmtId="1" fontId="6" fillId="2" borderId="1" xfId="0" applyNumberFormat="1" applyFont="1" applyFill="1" applyBorder="1" applyAlignment="1">
      <alignment horizontal="center" vertical="center" wrapText="1"/>
    </xf>
    <xf numFmtId="9" fontId="6" fillId="2" borderId="15" xfId="9" applyFont="1" applyFill="1" applyBorder="1" applyAlignment="1">
      <alignment horizontal="center" vertical="center"/>
    </xf>
    <xf numFmtId="0" fontId="9" fillId="2" borderId="15" xfId="1" applyFont="1" applyFill="1" applyBorder="1" applyAlignment="1">
      <alignment horizontal="center" vertical="center" wrapText="1"/>
    </xf>
    <xf numFmtId="9" fontId="6" fillId="2" borderId="15" xfId="0" applyNumberFormat="1" applyFont="1" applyFill="1" applyBorder="1" applyAlignment="1">
      <alignment horizontal="center" vertical="center"/>
    </xf>
    <xf numFmtId="0" fontId="4" fillId="2" borderId="15" xfId="0" applyFont="1" applyFill="1" applyBorder="1" applyAlignment="1">
      <alignment horizontal="center" vertical="center" wrapText="1"/>
    </xf>
    <xf numFmtId="0" fontId="6" fillId="2" borderId="1" xfId="0" applyFont="1" applyFill="1" applyBorder="1"/>
    <xf numFmtId="9" fontId="6" fillId="2" borderId="1" xfId="0" applyNumberFormat="1" applyFont="1" applyFill="1" applyBorder="1" applyAlignment="1">
      <alignment vertical="center" wrapText="1"/>
    </xf>
    <xf numFmtId="0" fontId="3" fillId="3" borderId="22"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13" xfId="0" applyFont="1" applyFill="1" applyBorder="1" applyAlignment="1">
      <alignment horizontal="center" vertical="center"/>
    </xf>
    <xf numFmtId="0" fontId="9" fillId="2" borderId="13" xfId="1" applyFont="1" applyFill="1" applyBorder="1" applyAlignment="1">
      <alignment horizontal="center" vertical="center" wrapText="1"/>
    </xf>
    <xf numFmtId="1" fontId="6" fillId="2" borderId="13" xfId="9" applyNumberFormat="1" applyFont="1" applyFill="1" applyBorder="1" applyAlignment="1">
      <alignment horizontal="center" vertical="center" wrapText="1"/>
    </xf>
    <xf numFmtId="0" fontId="6" fillId="2" borderId="13" xfId="0" applyFont="1" applyFill="1" applyBorder="1" applyAlignment="1">
      <alignment horizontal="center" vertical="center" wrapText="1"/>
    </xf>
    <xf numFmtId="1" fontId="6" fillId="2" borderId="15" xfId="9" applyNumberFormat="1" applyFont="1" applyFill="1" applyBorder="1" applyAlignment="1">
      <alignment horizontal="center" vertical="center" wrapText="1"/>
    </xf>
    <xf numFmtId="9" fontId="6" fillId="2" borderId="15" xfId="9" applyFont="1" applyFill="1" applyBorder="1" applyAlignment="1">
      <alignment horizontal="center" vertical="center" wrapText="1"/>
    </xf>
    <xf numFmtId="0" fontId="6" fillId="2" borderId="15" xfId="0" applyFont="1" applyFill="1" applyBorder="1" applyAlignment="1">
      <alignment horizontal="center" vertical="center"/>
    </xf>
    <xf numFmtId="0" fontId="4" fillId="2" borderId="15" xfId="0" applyFont="1" applyFill="1" applyBorder="1" applyAlignment="1">
      <alignment horizontal="center" vertical="center"/>
    </xf>
    <xf numFmtId="1" fontId="6" fillId="2" borderId="13" xfId="9" applyNumberFormat="1" applyFont="1" applyFill="1" applyBorder="1" applyAlignment="1">
      <alignment horizontal="center" vertical="center"/>
    </xf>
    <xf numFmtId="1" fontId="4" fillId="2" borderId="13" xfId="0" applyNumberFormat="1" applyFont="1" applyFill="1" applyBorder="1" applyAlignment="1">
      <alignment horizontal="center" vertical="center"/>
    </xf>
    <xf numFmtId="1" fontId="6" fillId="2" borderId="15" xfId="3" applyNumberFormat="1" applyFont="1" applyFill="1" applyBorder="1" applyAlignment="1">
      <alignment horizontal="center" vertical="center"/>
    </xf>
    <xf numFmtId="1" fontId="4" fillId="2" borderId="15" xfId="0" applyNumberFormat="1" applyFont="1" applyFill="1" applyBorder="1" applyAlignment="1">
      <alignment horizontal="center" vertical="center"/>
    </xf>
    <xf numFmtId="0" fontId="7" fillId="2" borderId="15" xfId="0" applyFont="1" applyFill="1" applyBorder="1" applyAlignment="1">
      <alignment horizontal="center" vertical="center" wrapText="1"/>
    </xf>
    <xf numFmtId="0" fontId="6" fillId="2" borderId="13" xfId="0" applyFont="1" applyFill="1" applyBorder="1" applyAlignment="1">
      <alignment horizontal="center" vertical="center"/>
    </xf>
    <xf numFmtId="169" fontId="6" fillId="2" borderId="15" xfId="3" applyNumberFormat="1" applyFont="1" applyFill="1" applyBorder="1" applyAlignment="1">
      <alignment horizontal="center"/>
    </xf>
    <xf numFmtId="43" fontId="6" fillId="2" borderId="15" xfId="3" applyFont="1" applyFill="1" applyBorder="1" applyAlignment="1">
      <alignment horizontal="center"/>
    </xf>
    <xf numFmtId="169" fontId="6" fillId="2" borderId="15" xfId="3" applyNumberFormat="1" applyFont="1" applyFill="1" applyBorder="1" applyAlignment="1">
      <alignment horizontal="center" vertical="center"/>
    </xf>
    <xf numFmtId="0" fontId="6" fillId="2" borderId="15" xfId="9" applyNumberFormat="1" applyFont="1" applyFill="1" applyBorder="1" applyAlignment="1">
      <alignment horizontal="center" vertical="center" wrapText="1"/>
    </xf>
    <xf numFmtId="167" fontId="6" fillId="2" borderId="13" xfId="9" applyNumberFormat="1" applyFont="1" applyFill="1" applyBorder="1" applyAlignment="1">
      <alignment vertical="center" wrapText="1"/>
    </xf>
    <xf numFmtId="170" fontId="6" fillId="2" borderId="13" xfId="9" applyNumberFormat="1" applyFont="1" applyFill="1" applyBorder="1" applyAlignment="1">
      <alignment horizontal="center" vertical="center" wrapText="1"/>
    </xf>
    <xf numFmtId="10" fontId="6" fillId="2" borderId="15" xfId="9" applyNumberFormat="1" applyFont="1" applyFill="1" applyBorder="1" applyAlignment="1">
      <alignment horizontal="center" vertical="center" wrapText="1"/>
    </xf>
    <xf numFmtId="9" fontId="6" fillId="0" borderId="15" xfId="9" applyFont="1" applyFill="1" applyBorder="1" applyAlignment="1">
      <alignment horizontal="center" vertical="center" wrapText="1"/>
    </xf>
    <xf numFmtId="2" fontId="6" fillId="2" borderId="15" xfId="9" applyNumberFormat="1" applyFont="1" applyFill="1" applyBorder="1" applyAlignment="1">
      <alignment horizontal="center" vertical="center" wrapText="1"/>
    </xf>
    <xf numFmtId="1" fontId="6" fillId="2" borderId="13" xfId="0" applyNumberFormat="1" applyFont="1" applyFill="1" applyBorder="1" applyAlignment="1">
      <alignment horizontal="center" vertical="center"/>
    </xf>
    <xf numFmtId="1" fontId="7" fillId="2" borderId="13" xfId="9" applyNumberFormat="1" applyFont="1" applyFill="1" applyBorder="1" applyAlignment="1">
      <alignment horizontal="center" vertical="center"/>
    </xf>
    <xf numFmtId="0" fontId="4" fillId="2" borderId="15" xfId="9" applyNumberFormat="1" applyFont="1" applyFill="1" applyBorder="1" applyAlignment="1">
      <alignment horizontal="center" vertical="center"/>
    </xf>
    <xf numFmtId="1" fontId="6" fillId="2" borderId="15" xfId="0" applyNumberFormat="1" applyFont="1" applyFill="1" applyBorder="1" applyAlignment="1">
      <alignment horizontal="center" vertical="center" wrapText="1"/>
    </xf>
    <xf numFmtId="2" fontId="6" fillId="2" borderId="15" xfId="0" applyNumberFormat="1" applyFont="1" applyFill="1" applyBorder="1" applyAlignment="1">
      <alignment horizontal="center" vertical="center"/>
    </xf>
    <xf numFmtId="0" fontId="4" fillId="2" borderId="13" xfId="0" applyFont="1" applyFill="1" applyBorder="1" applyAlignment="1">
      <alignment horizontal="center" vertical="center" wrapText="1"/>
    </xf>
    <xf numFmtId="0" fontId="6" fillId="2" borderId="13" xfId="0" applyFont="1" applyFill="1" applyBorder="1" applyAlignment="1">
      <alignment horizontal="center"/>
    </xf>
    <xf numFmtId="0" fontId="6" fillId="2" borderId="14" xfId="0" applyFont="1" applyFill="1" applyBorder="1"/>
    <xf numFmtId="0" fontId="6" fillId="2" borderId="12" xfId="0" applyFont="1" applyFill="1" applyBorder="1" applyAlignment="1">
      <alignment horizontal="center" vertical="center"/>
    </xf>
    <xf numFmtId="0" fontId="12" fillId="0" borderId="1" xfId="0" applyFont="1" applyBorder="1" applyAlignment="1">
      <alignment horizontal="center" vertical="center"/>
    </xf>
    <xf numFmtId="0" fontId="12" fillId="2" borderId="1" xfId="0" applyFont="1" applyFill="1" applyBorder="1" applyAlignment="1">
      <alignment horizontal="center" vertical="center"/>
    </xf>
    <xf numFmtId="0" fontId="7" fillId="2" borderId="12" xfId="0" applyFont="1" applyFill="1" applyBorder="1" applyAlignment="1">
      <alignment horizontal="center" vertical="center" wrapText="1"/>
    </xf>
    <xf numFmtId="0" fontId="12" fillId="2" borderId="15" xfId="0" applyFont="1" applyFill="1" applyBorder="1" applyAlignment="1">
      <alignment horizontal="center" vertical="center"/>
    </xf>
    <xf numFmtId="0" fontId="3" fillId="3" borderId="22" xfId="0" applyFont="1" applyFill="1" applyBorder="1" applyAlignment="1">
      <alignment horizontal="center" vertical="center" wrapText="1"/>
    </xf>
    <xf numFmtId="0" fontId="3" fillId="3" borderId="23" xfId="0" applyFont="1" applyFill="1" applyBorder="1" applyAlignment="1">
      <alignment horizontal="center" vertical="center" wrapText="1"/>
    </xf>
    <xf numFmtId="9" fontId="9" fillId="2" borderId="1" xfId="1" applyNumberFormat="1" applyFont="1" applyFill="1" applyBorder="1" applyAlignment="1">
      <alignment horizontal="center" vertical="center"/>
    </xf>
    <xf numFmtId="0" fontId="9" fillId="2" borderId="1" xfId="1" applyFont="1" applyFill="1" applyBorder="1" applyAlignment="1">
      <alignment horizontal="center" vertical="center"/>
    </xf>
    <xf numFmtId="0" fontId="9" fillId="2" borderId="16" xfId="1" applyFont="1" applyFill="1" applyBorder="1" applyAlignment="1">
      <alignment horizontal="center" vertical="center" wrapText="1"/>
    </xf>
    <xf numFmtId="10" fontId="9" fillId="2" borderId="1" xfId="1" applyNumberFormat="1" applyFont="1" applyFill="1" applyBorder="1" applyAlignment="1">
      <alignment horizontal="center" vertical="center"/>
    </xf>
    <xf numFmtId="9" fontId="13" fillId="2" borderId="1" xfId="9" applyFont="1" applyFill="1" applyBorder="1" applyAlignment="1">
      <alignment horizontal="center" vertical="center" wrapText="1"/>
    </xf>
    <xf numFmtId="0" fontId="9" fillId="2" borderId="1" xfId="1" applyFont="1" applyFill="1" applyBorder="1" applyAlignment="1">
      <alignment horizontal="center" vertical="center" wrapText="1"/>
    </xf>
    <xf numFmtId="9" fontId="6" fillId="2" borderId="14" xfId="0" applyNumberFormat="1" applyFont="1" applyFill="1" applyBorder="1" applyAlignment="1">
      <alignment horizontal="center" vertical="center"/>
    </xf>
    <xf numFmtId="0" fontId="6" fillId="2" borderId="12" xfId="0" applyFont="1" applyFill="1" applyBorder="1" applyAlignment="1">
      <alignment horizontal="center" vertical="center"/>
    </xf>
    <xf numFmtId="9" fontId="6" fillId="0" borderId="1" xfId="0" applyNumberFormat="1" applyFont="1" applyBorder="1" applyAlignment="1">
      <alignment horizontal="center" vertical="center"/>
    </xf>
    <xf numFmtId="0" fontId="8" fillId="3" borderId="9" xfId="0" applyFont="1" applyFill="1" applyBorder="1" applyAlignment="1">
      <alignment horizontal="center" vertical="center" wrapText="1"/>
    </xf>
    <xf numFmtId="0" fontId="8" fillId="3" borderId="30" xfId="0" applyFont="1" applyFill="1" applyBorder="1" applyAlignment="1">
      <alignment horizontal="center" vertical="center" wrapText="1"/>
    </xf>
    <xf numFmtId="165" fontId="8" fillId="3" borderId="9" xfId="0" applyNumberFormat="1" applyFont="1" applyFill="1" applyBorder="1" applyAlignment="1">
      <alignment horizontal="center" vertical="center" wrapText="1"/>
    </xf>
    <xf numFmtId="165" fontId="8" fillId="3" borderId="30" xfId="0" applyNumberFormat="1" applyFont="1" applyFill="1" applyBorder="1" applyAlignment="1">
      <alignment horizontal="center" vertical="center" wrapText="1"/>
    </xf>
    <xf numFmtId="9" fontId="6" fillId="2" borderId="1" xfId="9" applyFont="1" applyFill="1" applyBorder="1" applyAlignment="1">
      <alignment horizontal="center" vertical="center" wrapText="1"/>
    </xf>
    <xf numFmtId="0" fontId="9" fillId="2" borderId="15" xfId="1" applyFont="1" applyFill="1" applyBorder="1" applyAlignment="1">
      <alignment horizontal="center" vertical="center"/>
    </xf>
    <xf numFmtId="9" fontId="6" fillId="0" borderId="15" xfId="0" applyNumberFormat="1" applyFont="1" applyBorder="1" applyAlignment="1">
      <alignment horizontal="center" vertical="center"/>
    </xf>
    <xf numFmtId="0" fontId="9" fillId="2" borderId="16" xfId="1" applyFont="1" applyFill="1" applyBorder="1" applyAlignment="1">
      <alignment horizontal="center" vertical="center"/>
    </xf>
    <xf numFmtId="0" fontId="9" fillId="2" borderId="17" xfId="1" applyFont="1" applyFill="1" applyBorder="1" applyAlignment="1">
      <alignment horizontal="center" vertical="center"/>
    </xf>
    <xf numFmtId="9" fontId="6" fillId="2" borderId="16" xfId="9" applyFont="1" applyFill="1" applyBorder="1" applyAlignment="1">
      <alignment horizontal="center" vertical="center" wrapText="1"/>
    </xf>
    <xf numFmtId="9" fontId="6" fillId="2" borderId="1" xfId="0" applyNumberFormat="1" applyFont="1" applyFill="1" applyBorder="1" applyAlignment="1">
      <alignment horizontal="center" vertical="center"/>
    </xf>
    <xf numFmtId="9" fontId="6" fillId="2" borderId="15" xfId="0" applyNumberFormat="1" applyFont="1" applyFill="1" applyBorder="1" applyAlignment="1">
      <alignment horizontal="center" vertical="center"/>
    </xf>
    <xf numFmtId="9" fontId="6" fillId="2" borderId="17" xfId="9" applyFont="1" applyFill="1" applyBorder="1" applyAlignment="1">
      <alignment horizontal="center" vertical="center" wrapText="1"/>
    </xf>
    <xf numFmtId="9" fontId="6" fillId="0" borderId="13" xfId="0" applyNumberFormat="1" applyFont="1" applyBorder="1" applyAlignment="1">
      <alignment horizontal="center" vertical="center"/>
    </xf>
    <xf numFmtId="9" fontId="6" fillId="2" borderId="25" xfId="9" applyFont="1" applyFill="1" applyBorder="1" applyAlignment="1">
      <alignment horizontal="center" vertical="center" wrapText="1"/>
    </xf>
    <xf numFmtId="0" fontId="9" fillId="2" borderId="13" xfId="1" applyFont="1" applyFill="1" applyBorder="1" applyAlignment="1">
      <alignment vertical="center" wrapText="1"/>
    </xf>
    <xf numFmtId="0" fontId="9" fillId="2" borderId="1" xfId="1" applyFont="1" applyFill="1" applyBorder="1" applyAlignment="1">
      <alignment vertical="center" wrapText="1"/>
    </xf>
    <xf numFmtId="0" fontId="9" fillId="2" borderId="25" xfId="1" applyFont="1" applyFill="1" applyBorder="1" applyAlignment="1">
      <alignment horizontal="center" vertical="center" wrapText="1"/>
    </xf>
    <xf numFmtId="0" fontId="14" fillId="2" borderId="1" xfId="1" applyFont="1" applyFill="1" applyBorder="1" applyAlignment="1">
      <alignment horizontal="center" vertical="center" wrapText="1"/>
    </xf>
    <xf numFmtId="0" fontId="14" fillId="2" borderId="15" xfId="1" applyFont="1" applyFill="1" applyBorder="1" applyAlignment="1">
      <alignment horizontal="center" vertical="center" wrapText="1"/>
    </xf>
    <xf numFmtId="10" fontId="9" fillId="2" borderId="15" xfId="1" applyNumberFormat="1" applyFont="1" applyFill="1" applyBorder="1" applyAlignment="1">
      <alignment horizontal="center" vertical="center"/>
    </xf>
    <xf numFmtId="0" fontId="9" fillId="2" borderId="17" xfId="1" applyFont="1" applyFill="1" applyBorder="1" applyAlignment="1">
      <alignment horizontal="center" vertical="center" wrapText="1"/>
    </xf>
    <xf numFmtId="9" fontId="6" fillId="2" borderId="13" xfId="9" applyFont="1" applyFill="1" applyBorder="1" applyAlignment="1">
      <alignment horizontal="center" vertical="center" wrapText="1"/>
    </xf>
    <xf numFmtId="0" fontId="9" fillId="2" borderId="15" xfId="1" applyFont="1" applyFill="1" applyBorder="1" applyAlignment="1">
      <alignment horizontal="center" vertical="center" wrapText="1"/>
    </xf>
    <xf numFmtId="9" fontId="9" fillId="2" borderId="15" xfId="1" applyNumberFormat="1" applyFont="1" applyFill="1" applyBorder="1" applyAlignment="1">
      <alignment horizontal="center" vertical="center"/>
    </xf>
    <xf numFmtId="9" fontId="13" fillId="2" borderId="13" xfId="9" applyFont="1" applyFill="1" applyBorder="1" applyAlignment="1">
      <alignment horizontal="center" vertical="center" wrapText="1"/>
    </xf>
    <xf numFmtId="9" fontId="9" fillId="2" borderId="13" xfId="1" applyNumberFormat="1" applyFont="1" applyFill="1" applyBorder="1" applyAlignment="1">
      <alignment horizontal="center" vertical="center"/>
    </xf>
    <xf numFmtId="0" fontId="9" fillId="2" borderId="29" xfId="1" applyFont="1" applyFill="1" applyBorder="1" applyAlignment="1">
      <alignment horizontal="center" vertical="center" wrapText="1"/>
    </xf>
    <xf numFmtId="10" fontId="6" fillId="2" borderId="1" xfId="9" applyNumberFormat="1" applyFont="1" applyFill="1" applyBorder="1" applyAlignment="1">
      <alignment horizontal="center" vertical="center"/>
    </xf>
    <xf numFmtId="165" fontId="6" fillId="2" borderId="1" xfId="0" applyNumberFormat="1" applyFont="1" applyFill="1" applyBorder="1" applyAlignment="1">
      <alignment horizontal="center" vertical="center"/>
    </xf>
    <xf numFmtId="9" fontId="12" fillId="2" borderId="1" xfId="9" applyFont="1" applyFill="1" applyBorder="1" applyAlignment="1">
      <alignment horizontal="center" vertical="center" wrapText="1"/>
    </xf>
    <xf numFmtId="9" fontId="12" fillId="2" borderId="15" xfId="9"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6" fillId="2" borderId="14" xfId="0" applyFont="1" applyFill="1" applyBorder="1" applyAlignment="1">
      <alignment horizontal="center" vertical="center"/>
    </xf>
    <xf numFmtId="10" fontId="6" fillId="2" borderId="15" xfId="9" applyNumberFormat="1" applyFont="1" applyFill="1" applyBorder="1" applyAlignment="1">
      <alignment horizontal="center" vertical="center"/>
    </xf>
    <xf numFmtId="10" fontId="4" fillId="2" borderId="1" xfId="9" applyNumberFormat="1" applyFont="1" applyFill="1" applyBorder="1" applyAlignment="1">
      <alignment horizontal="center" vertical="center"/>
    </xf>
    <xf numFmtId="10" fontId="4" fillId="2" borderId="15" xfId="9" applyNumberFormat="1" applyFont="1" applyFill="1" applyBorder="1" applyAlignment="1">
      <alignment horizontal="center" vertical="center"/>
    </xf>
    <xf numFmtId="10" fontId="6" fillId="2" borderId="13" xfId="9" applyNumberFormat="1" applyFont="1" applyFill="1" applyBorder="1" applyAlignment="1">
      <alignment horizontal="center" vertical="center"/>
    </xf>
    <xf numFmtId="10" fontId="6" fillId="2" borderId="1" xfId="0" applyNumberFormat="1" applyFont="1" applyFill="1" applyBorder="1" applyAlignment="1">
      <alignment horizontal="center" vertical="center"/>
    </xf>
    <xf numFmtId="10" fontId="4" fillId="2" borderId="12" xfId="9" applyNumberFormat="1" applyFont="1" applyFill="1" applyBorder="1" applyAlignment="1">
      <alignment horizontal="center" vertical="center"/>
    </xf>
    <xf numFmtId="2" fontId="6" fillId="2" borderId="1" xfId="9" applyNumberFormat="1" applyFont="1" applyFill="1" applyBorder="1" applyAlignment="1">
      <alignment horizontal="center" vertical="center"/>
    </xf>
    <xf numFmtId="2" fontId="4" fillId="2" borderId="1" xfId="9" applyNumberFormat="1" applyFont="1" applyFill="1" applyBorder="1" applyAlignment="1">
      <alignment horizontal="center" vertical="center"/>
    </xf>
    <xf numFmtId="9" fontId="6" fillId="2" borderId="1" xfId="9" applyFont="1" applyFill="1" applyBorder="1" applyAlignment="1">
      <alignment horizontal="center" vertical="center"/>
    </xf>
    <xf numFmtId="10" fontId="4" fillId="2" borderId="13" xfId="9" applyNumberFormat="1" applyFont="1" applyFill="1" applyBorder="1" applyAlignment="1">
      <alignment horizontal="center" vertical="center"/>
    </xf>
    <xf numFmtId="9" fontId="4" fillId="2"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165" fontId="4" fillId="2" borderId="16" xfId="0" applyNumberFormat="1" applyFont="1" applyFill="1" applyBorder="1" applyAlignment="1">
      <alignment horizontal="center" vertical="center" wrapText="1"/>
    </xf>
    <xf numFmtId="165" fontId="4" fillId="2" borderId="25" xfId="0" applyNumberFormat="1" applyFont="1" applyFill="1" applyBorder="1" applyAlignment="1">
      <alignment horizontal="center" vertical="center" wrapText="1"/>
    </xf>
    <xf numFmtId="10" fontId="6" fillId="2" borderId="1" xfId="3" applyNumberFormat="1" applyFont="1" applyFill="1" applyBorder="1" applyAlignment="1">
      <alignment horizontal="center" vertical="center"/>
    </xf>
    <xf numFmtId="10" fontId="6" fillId="2" borderId="15" xfId="3" applyNumberFormat="1" applyFont="1" applyFill="1" applyBorder="1" applyAlignment="1">
      <alignment horizontal="center" vertical="center"/>
    </xf>
    <xf numFmtId="9" fontId="4" fillId="2" borderId="13" xfId="9" applyFont="1" applyFill="1" applyBorder="1" applyAlignment="1">
      <alignment horizontal="center" vertical="center"/>
    </xf>
    <xf numFmtId="9" fontId="4" fillId="2" borderId="1" xfId="9" applyFont="1" applyFill="1" applyBorder="1" applyAlignment="1">
      <alignment horizontal="center" vertical="center"/>
    </xf>
    <xf numFmtId="9" fontId="4" fillId="2" borderId="1" xfId="12" applyNumberFormat="1" applyFont="1" applyFill="1" applyBorder="1" applyAlignment="1">
      <alignment horizontal="center" vertical="center" wrapText="1"/>
    </xf>
    <xf numFmtId="9" fontId="4" fillId="2" borderId="13" xfId="0" applyNumberFormat="1" applyFont="1" applyFill="1" applyBorder="1" applyAlignment="1">
      <alignment horizontal="center" vertical="center"/>
    </xf>
    <xf numFmtId="0" fontId="4" fillId="2" borderId="1" xfId="12" applyFont="1" applyFill="1" applyBorder="1" applyAlignment="1">
      <alignment horizontal="center" vertical="center" wrapText="1"/>
    </xf>
    <xf numFmtId="0" fontId="4" fillId="2" borderId="1" xfId="0" applyFont="1" applyFill="1" applyBorder="1" applyAlignment="1">
      <alignment horizontal="center" vertical="center" wrapText="1"/>
    </xf>
    <xf numFmtId="14" fontId="4" fillId="2" borderId="13" xfId="9" applyNumberFormat="1" applyFont="1" applyFill="1" applyBorder="1" applyAlignment="1">
      <alignment horizontal="center" vertical="center"/>
    </xf>
    <xf numFmtId="14" fontId="4" fillId="2" borderId="1" xfId="9" applyNumberFormat="1" applyFont="1" applyFill="1" applyBorder="1" applyAlignment="1">
      <alignment horizontal="center" vertical="center" wrapText="1"/>
    </xf>
    <xf numFmtId="9" fontId="4" fillId="2" borderId="1" xfId="9" applyFont="1" applyFill="1" applyBorder="1" applyAlignment="1">
      <alignment horizontal="center" vertical="center" wrapText="1"/>
    </xf>
    <xf numFmtId="0" fontId="6" fillId="2" borderId="13" xfId="0" applyFont="1" applyFill="1" applyBorder="1" applyAlignment="1">
      <alignment horizontal="center" vertical="center" wrapText="1"/>
    </xf>
    <xf numFmtId="14" fontId="6" fillId="2" borderId="13" xfId="0" applyNumberFormat="1" applyFont="1" applyFill="1" applyBorder="1" applyAlignment="1">
      <alignment horizontal="center" vertical="center"/>
    </xf>
    <xf numFmtId="0" fontId="6" fillId="2" borderId="1" xfId="0" applyFont="1" applyFill="1" applyBorder="1" applyAlignment="1">
      <alignment horizontal="center" vertical="center"/>
    </xf>
    <xf numFmtId="14" fontId="6" fillId="2" borderId="1" xfId="0" applyNumberFormat="1" applyFont="1" applyFill="1" applyBorder="1" applyAlignment="1">
      <alignment horizontal="center" vertical="center"/>
    </xf>
    <xf numFmtId="0" fontId="6" fillId="2" borderId="16" xfId="0" applyFont="1" applyFill="1" applyBorder="1" applyAlignment="1">
      <alignment horizontal="center" vertical="center" wrapText="1"/>
    </xf>
    <xf numFmtId="9" fontId="6" fillId="2" borderId="15" xfId="9" applyFont="1" applyFill="1" applyBorder="1" applyAlignment="1">
      <alignment horizontal="center" vertical="center"/>
    </xf>
    <xf numFmtId="165" fontId="6" fillId="2" borderId="13" xfId="9" applyNumberFormat="1" applyFont="1" applyFill="1" applyBorder="1" applyAlignment="1">
      <alignment horizontal="center" vertical="center"/>
    </xf>
    <xf numFmtId="165" fontId="6" fillId="2" borderId="1" xfId="9" applyNumberFormat="1" applyFont="1" applyFill="1" applyBorder="1" applyAlignment="1">
      <alignment horizontal="center" vertical="center"/>
    </xf>
    <xf numFmtId="165" fontId="6" fillId="2" borderId="13" xfId="0" applyNumberFormat="1" applyFont="1" applyFill="1" applyBorder="1" applyAlignment="1">
      <alignment horizontal="center" vertical="center"/>
    </xf>
    <xf numFmtId="9" fontId="9" fillId="2" borderId="12" xfId="1" applyNumberFormat="1" applyFont="1" applyFill="1" applyBorder="1" applyAlignment="1">
      <alignment horizontal="center" vertical="center"/>
    </xf>
    <xf numFmtId="0" fontId="4" fillId="2" borderId="15" xfId="0" applyFont="1" applyFill="1" applyBorder="1" applyAlignment="1">
      <alignment horizontal="center" vertical="center" wrapText="1"/>
    </xf>
    <xf numFmtId="165" fontId="4" fillId="0" borderId="1" xfId="0" applyNumberFormat="1" applyFont="1" applyBorder="1" applyAlignment="1">
      <alignment horizontal="center" vertical="center"/>
    </xf>
    <xf numFmtId="165" fontId="4" fillId="2" borderId="17" xfId="0" applyNumberFormat="1" applyFont="1" applyFill="1" applyBorder="1" applyAlignment="1">
      <alignment horizontal="center" vertical="center" wrapText="1"/>
    </xf>
    <xf numFmtId="14" fontId="4" fillId="2" borderId="1" xfId="9" applyNumberFormat="1" applyFont="1" applyFill="1" applyBorder="1" applyAlignment="1">
      <alignment horizontal="center" vertical="center"/>
    </xf>
    <xf numFmtId="9" fontId="6" fillId="2" borderId="15" xfId="9" applyFont="1" applyFill="1" applyBorder="1" applyAlignment="1">
      <alignment horizontal="center" vertical="center" wrapText="1"/>
    </xf>
    <xf numFmtId="0" fontId="6" fillId="2" borderId="25" xfId="0" applyFont="1" applyFill="1" applyBorder="1" applyAlignment="1">
      <alignment horizontal="center" vertical="center" wrapText="1"/>
    </xf>
    <xf numFmtId="165" fontId="6" fillId="2" borderId="13" xfId="0" applyNumberFormat="1" applyFont="1" applyFill="1" applyBorder="1" applyAlignment="1">
      <alignment horizontal="center" vertical="center" wrapText="1"/>
    </xf>
    <xf numFmtId="165" fontId="6" fillId="2" borderId="1" xfId="0" applyNumberFormat="1" applyFont="1" applyFill="1" applyBorder="1" applyAlignment="1">
      <alignment horizontal="center" vertical="center" wrapText="1"/>
    </xf>
    <xf numFmtId="14" fontId="4" fillId="2" borderId="13" xfId="9" applyNumberFormat="1" applyFont="1" applyFill="1" applyBorder="1" applyAlignment="1">
      <alignment horizontal="center" vertical="center" wrapText="1"/>
    </xf>
    <xf numFmtId="9" fontId="12" fillId="2" borderId="13" xfId="9" applyFont="1" applyFill="1" applyBorder="1" applyAlignment="1">
      <alignment horizontal="center" vertical="center" wrapText="1"/>
    </xf>
    <xf numFmtId="10" fontId="4" fillId="2" borderId="1" xfId="12" applyNumberFormat="1" applyFont="1" applyFill="1" applyBorder="1" applyAlignment="1">
      <alignment horizontal="center" vertical="center" wrapText="1"/>
    </xf>
    <xf numFmtId="0" fontId="6" fillId="2" borderId="17" xfId="0" applyFont="1" applyFill="1" applyBorder="1" applyAlignment="1">
      <alignment horizontal="center" vertical="center" wrapText="1"/>
    </xf>
    <xf numFmtId="9" fontId="6" fillId="2" borderId="13" xfId="0" applyNumberFormat="1" applyFont="1" applyFill="1" applyBorder="1" applyAlignment="1">
      <alignment horizontal="center" vertical="center"/>
    </xf>
    <xf numFmtId="0" fontId="8" fillId="3" borderId="8"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23" xfId="0" applyFont="1" applyFill="1" applyBorder="1" applyAlignment="1">
      <alignment horizontal="center" vertical="center"/>
    </xf>
    <xf numFmtId="9" fontId="4" fillId="2" borderId="1" xfId="0" applyNumberFormat="1" applyFont="1" applyFill="1" applyBorder="1" applyAlignment="1">
      <alignment horizontal="center" vertical="center" wrapText="1"/>
    </xf>
    <xf numFmtId="9" fontId="4" fillId="2" borderId="15" xfId="0" applyNumberFormat="1" applyFont="1" applyFill="1" applyBorder="1" applyAlignment="1">
      <alignment horizontal="center" vertical="center" wrapText="1"/>
    </xf>
    <xf numFmtId="10" fontId="6" fillId="2" borderId="13" xfId="0" applyNumberFormat="1" applyFont="1" applyFill="1" applyBorder="1" applyAlignment="1">
      <alignment horizontal="center" vertical="center"/>
    </xf>
    <xf numFmtId="10" fontId="6" fillId="2" borderId="15" xfId="0" applyNumberFormat="1" applyFont="1" applyFill="1" applyBorder="1" applyAlignment="1">
      <alignment horizontal="center" vertical="center"/>
    </xf>
    <xf numFmtId="0" fontId="6" fillId="0" borderId="1" xfId="9" applyNumberFormat="1" applyFont="1" applyBorder="1" applyAlignment="1">
      <alignment horizontal="center" vertical="center" wrapText="1"/>
    </xf>
    <xf numFmtId="0" fontId="6" fillId="0" borderId="15" xfId="9" applyNumberFormat="1" applyFont="1" applyBorder="1" applyAlignment="1">
      <alignment horizontal="center" vertical="center" wrapText="1"/>
    </xf>
    <xf numFmtId="49" fontId="6" fillId="2" borderId="1" xfId="0" applyNumberFormat="1" applyFont="1" applyFill="1" applyBorder="1" applyAlignment="1">
      <alignment horizontal="center" vertical="center" wrapText="1"/>
    </xf>
    <xf numFmtId="49" fontId="6" fillId="2" borderId="15" xfId="0" applyNumberFormat="1" applyFont="1" applyFill="1" applyBorder="1" applyAlignment="1">
      <alignment horizontal="center" vertical="center"/>
    </xf>
    <xf numFmtId="0" fontId="6" fillId="2" borderId="15" xfId="0" applyFont="1" applyFill="1" applyBorder="1" applyAlignment="1">
      <alignment horizontal="center" vertical="center"/>
    </xf>
    <xf numFmtId="0" fontId="3" fillId="3" borderId="7" xfId="0" applyFont="1" applyFill="1" applyBorder="1" applyAlignment="1">
      <alignment horizontal="center" vertical="center" wrapText="1"/>
    </xf>
    <xf numFmtId="0" fontId="3" fillId="3" borderId="23" xfId="0" applyFont="1" applyFill="1" applyBorder="1" applyAlignment="1">
      <alignment horizontal="center" vertical="center" wrapText="1"/>
    </xf>
    <xf numFmtId="10" fontId="7" fillId="2" borderId="13" xfId="9" applyNumberFormat="1" applyFont="1" applyFill="1" applyBorder="1" applyAlignment="1">
      <alignment horizontal="center" vertical="center"/>
    </xf>
    <xf numFmtId="10" fontId="7" fillId="2" borderId="1" xfId="9" applyNumberFormat="1" applyFont="1" applyFill="1" applyBorder="1" applyAlignment="1">
      <alignment horizontal="center" vertical="center"/>
    </xf>
    <xf numFmtId="14" fontId="9" fillId="2" borderId="1" xfId="1" applyNumberFormat="1" applyFont="1" applyFill="1" applyBorder="1" applyAlignment="1">
      <alignment horizontal="center" vertical="center"/>
    </xf>
    <xf numFmtId="165" fontId="4" fillId="2" borderId="13" xfId="0" applyNumberFormat="1" applyFont="1" applyFill="1" applyBorder="1" applyAlignment="1">
      <alignment horizontal="center" vertical="center" wrapText="1"/>
    </xf>
    <xf numFmtId="165" fontId="4" fillId="2" borderId="1" xfId="0" applyNumberFormat="1" applyFont="1" applyFill="1" applyBorder="1" applyAlignment="1">
      <alignment horizontal="center" vertical="center" wrapText="1"/>
    </xf>
    <xf numFmtId="165" fontId="4" fillId="2" borderId="1" xfId="0" applyNumberFormat="1" applyFont="1" applyFill="1" applyBorder="1" applyAlignment="1">
      <alignment horizontal="center" vertical="center"/>
    </xf>
    <xf numFmtId="165" fontId="4" fillId="2" borderId="15" xfId="0" applyNumberFormat="1" applyFont="1" applyFill="1" applyBorder="1" applyAlignment="1">
      <alignment horizontal="center" vertical="center"/>
    </xf>
    <xf numFmtId="9" fontId="4" fillId="2" borderId="15" xfId="9" applyFont="1" applyFill="1" applyBorder="1" applyAlignment="1">
      <alignment horizontal="center" vertical="center"/>
    </xf>
    <xf numFmtId="14" fontId="6" fillId="2" borderId="15" xfId="0" applyNumberFormat="1" applyFont="1" applyFill="1" applyBorder="1" applyAlignment="1">
      <alignment horizontal="center" vertical="center"/>
    </xf>
    <xf numFmtId="0" fontId="6" fillId="2" borderId="16" xfId="9" applyNumberFormat="1" applyFont="1" applyFill="1" applyBorder="1" applyAlignment="1">
      <alignment horizontal="center" vertical="center" wrapText="1"/>
    </xf>
    <xf numFmtId="0" fontId="6" fillId="2" borderId="17" xfId="9" applyNumberFormat="1" applyFont="1" applyFill="1" applyBorder="1" applyAlignment="1">
      <alignment horizontal="center" vertical="center" wrapText="1"/>
    </xf>
    <xf numFmtId="9" fontId="6" fillId="2" borderId="13" xfId="9" applyFont="1" applyFill="1" applyBorder="1" applyAlignment="1">
      <alignment horizontal="center" vertical="center"/>
    </xf>
    <xf numFmtId="171" fontId="6" fillId="2" borderId="13" xfId="9" applyNumberFormat="1" applyFont="1" applyFill="1" applyBorder="1" applyAlignment="1">
      <alignment horizontal="center" vertical="center"/>
    </xf>
    <xf numFmtId="165" fontId="6" fillId="2" borderId="16" xfId="0" applyNumberFormat="1" applyFont="1" applyFill="1" applyBorder="1" applyAlignment="1">
      <alignment horizontal="center" vertical="center" wrapText="1"/>
    </xf>
    <xf numFmtId="165" fontId="6" fillId="2" borderId="17" xfId="0" applyNumberFormat="1" applyFont="1" applyFill="1" applyBorder="1" applyAlignment="1">
      <alignment horizontal="center" vertical="center" wrapText="1"/>
    </xf>
    <xf numFmtId="165" fontId="8" fillId="2" borderId="16" xfId="0" applyNumberFormat="1" applyFont="1" applyFill="1" applyBorder="1" applyAlignment="1">
      <alignment horizontal="center" vertical="center" wrapText="1"/>
    </xf>
    <xf numFmtId="165" fontId="6" fillId="2" borderId="25" xfId="0" applyNumberFormat="1" applyFont="1" applyFill="1" applyBorder="1" applyAlignment="1">
      <alignment horizontal="center" vertical="center" wrapText="1"/>
    </xf>
    <xf numFmtId="0" fontId="6" fillId="2" borderId="16" xfId="0" applyFont="1" applyFill="1" applyBorder="1" applyAlignment="1">
      <alignment horizontal="center" vertical="center"/>
    </xf>
    <xf numFmtId="0" fontId="6" fillId="2" borderId="17" xfId="0" applyFont="1" applyFill="1" applyBorder="1" applyAlignment="1">
      <alignment horizontal="center" vertical="center"/>
    </xf>
    <xf numFmtId="9" fontId="10" fillId="0" borderId="1" xfId="12" applyNumberFormat="1" applyFill="1" applyBorder="1" applyAlignment="1">
      <alignment horizontal="left" vertical="center" wrapText="1"/>
    </xf>
    <xf numFmtId="9" fontId="10" fillId="0" borderId="15" xfId="12" applyNumberFormat="1" applyFill="1" applyBorder="1" applyAlignment="1">
      <alignment horizontal="left" vertical="center" wrapText="1"/>
    </xf>
    <xf numFmtId="9" fontId="4" fillId="0" borderId="1" xfId="9" applyFont="1" applyFill="1" applyBorder="1" applyAlignment="1">
      <alignment horizontal="center" vertical="center" wrapText="1"/>
    </xf>
    <xf numFmtId="9" fontId="4" fillId="0" borderId="15" xfId="9" applyFont="1" applyFill="1" applyBorder="1" applyAlignment="1">
      <alignment horizontal="center" vertical="center" wrapText="1"/>
    </xf>
    <xf numFmtId="165" fontId="4" fillId="0" borderId="15" xfId="0" applyNumberFormat="1" applyFont="1" applyBorder="1" applyAlignment="1">
      <alignment horizontal="center" vertical="center"/>
    </xf>
    <xf numFmtId="0" fontId="10" fillId="0" borderId="1" xfId="12" applyFill="1" applyBorder="1" applyAlignment="1">
      <alignment vertical="center" wrapText="1"/>
    </xf>
    <xf numFmtId="0" fontId="6" fillId="2" borderId="25" xfId="9" applyNumberFormat="1" applyFont="1" applyFill="1" applyBorder="1" applyAlignment="1">
      <alignment horizontal="center" vertical="center" wrapText="1"/>
    </xf>
    <xf numFmtId="14" fontId="6" fillId="2" borderId="1" xfId="9" applyNumberFormat="1" applyFont="1" applyFill="1" applyBorder="1" applyAlignment="1">
      <alignment horizontal="center" vertical="center"/>
    </xf>
    <xf numFmtId="0" fontId="6" fillId="2" borderId="1" xfId="9" applyNumberFormat="1" applyFont="1" applyFill="1" applyBorder="1" applyAlignment="1">
      <alignment horizontal="center" vertical="center"/>
    </xf>
    <xf numFmtId="9" fontId="6" fillId="2" borderId="13" xfId="9" applyFont="1" applyFill="1" applyBorder="1" applyAlignment="1">
      <alignment horizontal="center" vertical="top" wrapText="1"/>
    </xf>
    <xf numFmtId="9" fontId="6" fillId="2" borderId="1" xfId="9" applyFont="1" applyFill="1" applyBorder="1" applyAlignment="1">
      <alignment horizontal="center" vertical="top" wrapText="1"/>
    </xf>
    <xf numFmtId="165" fontId="4" fillId="2" borderId="1" xfId="9" applyNumberFormat="1" applyFont="1" applyFill="1" applyBorder="1" applyAlignment="1">
      <alignment horizontal="center" vertical="center"/>
    </xf>
    <xf numFmtId="165" fontId="4" fillId="2" borderId="15" xfId="9" applyNumberFormat="1" applyFont="1" applyFill="1" applyBorder="1" applyAlignment="1">
      <alignment horizontal="center" vertical="center"/>
    </xf>
    <xf numFmtId="14" fontId="9" fillId="2" borderId="13" xfId="1" applyNumberFormat="1" applyFont="1" applyFill="1" applyBorder="1" applyAlignment="1">
      <alignment horizontal="center" vertical="center"/>
    </xf>
    <xf numFmtId="0" fontId="6" fillId="0" borderId="13" xfId="9" applyNumberFormat="1" applyFont="1" applyBorder="1" applyAlignment="1">
      <alignment horizontal="center" vertical="center" wrapText="1"/>
    </xf>
    <xf numFmtId="165" fontId="6" fillId="2" borderId="15" xfId="9" applyNumberFormat="1" applyFont="1" applyFill="1" applyBorder="1" applyAlignment="1">
      <alignment horizontal="center" vertical="center"/>
    </xf>
    <xf numFmtId="9" fontId="13" fillId="2" borderId="12" xfId="9" applyFont="1" applyFill="1" applyBorder="1" applyAlignment="1">
      <alignment horizontal="center" vertical="center" wrapText="1"/>
    </xf>
    <xf numFmtId="14" fontId="9" fillId="2" borderId="15" xfId="1" applyNumberFormat="1" applyFont="1" applyFill="1" applyBorder="1" applyAlignment="1">
      <alignment horizontal="center" vertical="center"/>
    </xf>
    <xf numFmtId="0" fontId="9" fillId="0" borderId="1" xfId="1" applyFont="1" applyBorder="1" applyAlignment="1">
      <alignment horizontal="center" vertical="center" wrapText="1"/>
    </xf>
    <xf numFmtId="0" fontId="6" fillId="2" borderId="1" xfId="9" applyNumberFormat="1" applyFont="1" applyFill="1" applyBorder="1" applyAlignment="1">
      <alignment horizontal="center" vertical="center" wrapText="1"/>
    </xf>
    <xf numFmtId="14" fontId="9" fillId="2" borderId="12" xfId="1" applyNumberFormat="1" applyFont="1" applyFill="1" applyBorder="1" applyAlignment="1">
      <alignment horizontal="center" vertical="center"/>
    </xf>
    <xf numFmtId="0" fontId="6" fillId="2" borderId="15" xfId="9" applyNumberFormat="1" applyFont="1" applyFill="1" applyBorder="1" applyAlignment="1">
      <alignment horizontal="center" vertical="center"/>
    </xf>
    <xf numFmtId="0" fontId="9" fillId="0" borderId="15" xfId="1" applyFont="1" applyBorder="1" applyAlignment="1">
      <alignment horizontal="center" vertical="center" wrapText="1"/>
    </xf>
    <xf numFmtId="14" fontId="6" fillId="2" borderId="13" xfId="9" applyNumberFormat="1" applyFont="1" applyFill="1" applyBorder="1" applyAlignment="1">
      <alignment horizontal="center" vertical="center"/>
    </xf>
    <xf numFmtId="0" fontId="3" fillId="3" borderId="9" xfId="0" applyFont="1" applyFill="1" applyBorder="1" applyAlignment="1">
      <alignment horizontal="center" vertical="center" wrapText="1"/>
    </xf>
    <xf numFmtId="0" fontId="3" fillId="3" borderId="22" xfId="0" applyFont="1" applyFill="1" applyBorder="1" applyAlignment="1">
      <alignment horizontal="center" vertical="center" wrapText="1"/>
    </xf>
    <xf numFmtId="8" fontId="6" fillId="2" borderId="13" xfId="5" applyNumberFormat="1" applyFont="1" applyFill="1" applyBorder="1" applyAlignment="1">
      <alignment horizontal="center" vertical="center"/>
    </xf>
    <xf numFmtId="8" fontId="6" fillId="2" borderId="1" xfId="5" applyNumberFormat="1" applyFont="1" applyFill="1" applyBorder="1" applyAlignment="1">
      <alignment horizontal="center" vertical="center"/>
    </xf>
    <xf numFmtId="1" fontId="6" fillId="2" borderId="1" xfId="9" applyNumberFormat="1" applyFont="1" applyFill="1" applyBorder="1" applyAlignment="1">
      <alignment horizontal="center" vertical="center" wrapText="1"/>
    </xf>
    <xf numFmtId="165" fontId="6" fillId="2" borderId="1" xfId="9" applyNumberFormat="1" applyFont="1" applyFill="1" applyBorder="1" applyAlignment="1">
      <alignment horizontal="center" vertical="center" wrapText="1"/>
    </xf>
    <xf numFmtId="10" fontId="6" fillId="2" borderId="1" xfId="9" applyNumberFormat="1" applyFont="1" applyFill="1" applyBorder="1" applyAlignment="1">
      <alignment horizontal="center" vertical="center" wrapText="1"/>
    </xf>
    <xf numFmtId="10" fontId="6" fillId="2" borderId="1" xfId="3" applyNumberFormat="1" applyFont="1" applyFill="1" applyBorder="1" applyAlignment="1">
      <alignment horizontal="center" vertical="center" wrapText="1"/>
    </xf>
    <xf numFmtId="10" fontId="6" fillId="2" borderId="15" xfId="3" applyNumberFormat="1" applyFont="1" applyFill="1" applyBorder="1" applyAlignment="1">
      <alignment horizontal="center" vertical="center" wrapText="1"/>
    </xf>
    <xf numFmtId="2" fontId="6" fillId="2" borderId="14" xfId="0" applyNumberFormat="1" applyFont="1" applyFill="1" applyBorder="1" applyAlignment="1">
      <alignment horizontal="center" vertical="center" wrapText="1"/>
    </xf>
    <xf numFmtId="2" fontId="6" fillId="2" borderId="12" xfId="0" applyNumberFormat="1" applyFont="1" applyFill="1" applyBorder="1" applyAlignment="1">
      <alignment horizontal="center" vertical="center" wrapText="1"/>
    </xf>
    <xf numFmtId="1" fontId="6" fillId="2" borderId="14" xfId="0" applyNumberFormat="1" applyFont="1" applyFill="1" applyBorder="1" applyAlignment="1">
      <alignment horizontal="center" vertical="center" wrapText="1"/>
    </xf>
    <xf numFmtId="1" fontId="6" fillId="2" borderId="12" xfId="0" applyNumberFormat="1" applyFont="1" applyFill="1" applyBorder="1" applyAlignment="1">
      <alignment horizontal="center" vertical="center" wrapText="1"/>
    </xf>
    <xf numFmtId="9" fontId="7" fillId="2" borderId="1" xfId="9" applyFont="1" applyFill="1" applyBorder="1" applyAlignment="1">
      <alignment horizontal="center" vertical="center" wrapText="1"/>
    </xf>
    <xf numFmtId="43" fontId="6" fillId="2" borderId="1" xfId="3" applyFont="1" applyFill="1" applyBorder="1" applyAlignment="1">
      <alignment horizontal="center" vertical="center"/>
    </xf>
    <xf numFmtId="43" fontId="6" fillId="2" borderId="15" xfId="3" applyFont="1" applyFill="1" applyBorder="1" applyAlignment="1">
      <alignment horizontal="center" vertical="center"/>
    </xf>
    <xf numFmtId="10" fontId="6" fillId="2" borderId="1" xfId="0" applyNumberFormat="1" applyFont="1" applyFill="1" applyBorder="1" applyAlignment="1">
      <alignment horizontal="center" vertical="center" wrapText="1"/>
    </xf>
    <xf numFmtId="9" fontId="6" fillId="2" borderId="1" xfId="0" applyNumberFormat="1" applyFont="1" applyFill="1" applyBorder="1" applyAlignment="1">
      <alignment horizontal="center" vertical="center" wrapText="1"/>
    </xf>
    <xf numFmtId="10" fontId="4" fillId="2" borderId="13" xfId="0" applyNumberFormat="1" applyFont="1" applyFill="1" applyBorder="1" applyAlignment="1">
      <alignment horizontal="center" vertical="center"/>
    </xf>
    <xf numFmtId="10" fontId="4" fillId="2" borderId="1" xfId="0" applyNumberFormat="1" applyFont="1" applyFill="1" applyBorder="1" applyAlignment="1">
      <alignment horizontal="center" vertical="center"/>
    </xf>
    <xf numFmtId="9" fontId="6" fillId="2" borderId="12" xfId="9" applyFont="1" applyFill="1" applyBorder="1" applyAlignment="1">
      <alignment horizontal="center" vertical="center"/>
    </xf>
    <xf numFmtId="2" fontId="4" fillId="2" borderId="1" xfId="9" applyNumberFormat="1" applyFont="1" applyFill="1" applyBorder="1" applyAlignment="1">
      <alignment horizontal="center" vertical="center" wrapText="1"/>
    </xf>
    <xf numFmtId="2" fontId="6" fillId="2" borderId="1" xfId="0" applyNumberFormat="1" applyFont="1" applyFill="1" applyBorder="1" applyAlignment="1">
      <alignment horizontal="center" vertical="center"/>
    </xf>
    <xf numFmtId="9" fontId="6" fillId="2" borderId="21" xfId="0" applyNumberFormat="1" applyFont="1" applyFill="1" applyBorder="1" applyAlignment="1">
      <alignment horizontal="center" vertical="center"/>
    </xf>
    <xf numFmtId="9" fontId="6" fillId="2" borderId="26" xfId="0" applyNumberFormat="1" applyFont="1" applyFill="1" applyBorder="1" applyAlignment="1">
      <alignment horizontal="center" vertical="center"/>
    </xf>
    <xf numFmtId="10" fontId="6" fillId="2" borderId="14" xfId="0" applyNumberFormat="1" applyFont="1" applyFill="1" applyBorder="1" applyAlignment="1">
      <alignment horizontal="center" vertical="center"/>
    </xf>
    <xf numFmtId="165" fontId="4" fillId="0" borderId="16" xfId="0" applyNumberFormat="1" applyFont="1" applyBorder="1" applyAlignment="1">
      <alignment horizontal="center" vertical="center" wrapText="1"/>
    </xf>
    <xf numFmtId="165" fontId="4" fillId="0" borderId="13" xfId="0" applyNumberFormat="1" applyFont="1" applyBorder="1" applyAlignment="1">
      <alignment horizontal="center" vertical="center"/>
    </xf>
    <xf numFmtId="165" fontId="4" fillId="0" borderId="25" xfId="0" applyNumberFormat="1" applyFont="1" applyBorder="1" applyAlignment="1">
      <alignment horizontal="center" vertical="center" wrapText="1"/>
    </xf>
    <xf numFmtId="10" fontId="6" fillId="2" borderId="13" xfId="3" applyNumberFormat="1" applyFont="1" applyFill="1" applyBorder="1" applyAlignment="1">
      <alignment horizontal="center" vertical="center"/>
    </xf>
    <xf numFmtId="9" fontId="4" fillId="0" borderId="13" xfId="9" applyFont="1" applyFill="1" applyBorder="1" applyAlignment="1">
      <alignment horizontal="center" vertical="center" wrapText="1"/>
    </xf>
    <xf numFmtId="9" fontId="10" fillId="0" borderId="13" xfId="12" applyNumberFormat="1" applyFill="1" applyBorder="1" applyAlignment="1">
      <alignment horizontal="left" vertical="center" wrapText="1"/>
    </xf>
    <xf numFmtId="9" fontId="6" fillId="0" borderId="1" xfId="9" applyFont="1" applyFill="1" applyBorder="1" applyAlignment="1">
      <alignment horizontal="center" vertical="center" wrapText="1"/>
    </xf>
    <xf numFmtId="9" fontId="6" fillId="0" borderId="1" xfId="9" applyFont="1" applyFill="1" applyBorder="1" applyAlignment="1">
      <alignment horizontal="center" vertical="center"/>
    </xf>
    <xf numFmtId="9" fontId="6" fillId="2" borderId="1" xfId="12" applyNumberFormat="1" applyFont="1" applyFill="1" applyBorder="1" applyAlignment="1">
      <alignment horizontal="center" vertical="center" wrapText="1"/>
    </xf>
    <xf numFmtId="49" fontId="6" fillId="2" borderId="15" xfId="0" applyNumberFormat="1" applyFont="1" applyFill="1" applyBorder="1" applyAlignment="1">
      <alignment horizontal="center" vertical="center" wrapText="1"/>
    </xf>
    <xf numFmtId="9" fontId="11" fillId="2" borderId="13" xfId="12" applyNumberFormat="1" applyFont="1" applyFill="1" applyBorder="1" applyAlignment="1">
      <alignment horizontal="center" vertical="center" wrapText="1"/>
    </xf>
    <xf numFmtId="0" fontId="6" fillId="2" borderId="13" xfId="0" applyFont="1" applyFill="1" applyBorder="1" applyAlignment="1">
      <alignment horizontal="left" vertical="center" wrapText="1"/>
    </xf>
    <xf numFmtId="0" fontId="6" fillId="2" borderId="15" xfId="0" applyFont="1" applyFill="1" applyBorder="1" applyAlignment="1">
      <alignment horizontal="left" vertical="center" wrapText="1"/>
    </xf>
    <xf numFmtId="0" fontId="6" fillId="2" borderId="25" xfId="0" applyFont="1" applyFill="1" applyBorder="1" applyAlignment="1">
      <alignment horizontal="center" vertical="center"/>
    </xf>
    <xf numFmtId="1" fontId="6" fillId="2" borderId="1" xfId="0" applyNumberFormat="1" applyFont="1" applyFill="1" applyBorder="1" applyAlignment="1">
      <alignment horizontal="center" vertical="center"/>
    </xf>
    <xf numFmtId="10" fontId="4" fillId="2" borderId="13" xfId="9" applyNumberFormat="1" applyFont="1" applyFill="1" applyBorder="1" applyAlignment="1">
      <alignment horizontal="center" vertical="center" wrapText="1"/>
    </xf>
    <xf numFmtId="10" fontId="4" fillId="2" borderId="1" xfId="9" applyNumberFormat="1" applyFont="1" applyFill="1" applyBorder="1" applyAlignment="1">
      <alignment horizontal="center" vertical="center" wrapText="1"/>
    </xf>
    <xf numFmtId="0" fontId="4" fillId="2" borderId="15" xfId="0" applyFont="1" applyFill="1" applyBorder="1" applyAlignment="1">
      <alignment horizontal="center" vertical="center"/>
    </xf>
    <xf numFmtId="10" fontId="4" fillId="2" borderId="13" xfId="0" applyNumberFormat="1" applyFont="1" applyFill="1" applyBorder="1" applyAlignment="1">
      <alignment horizontal="center" vertical="center" wrapText="1"/>
    </xf>
    <xf numFmtId="10" fontId="4" fillId="2" borderId="15" xfId="0" applyNumberFormat="1" applyFont="1" applyFill="1" applyBorder="1" applyAlignment="1">
      <alignment horizontal="center" vertical="center" wrapText="1"/>
    </xf>
    <xf numFmtId="0" fontId="6" fillId="2" borderId="15" xfId="9" applyNumberFormat="1" applyFont="1" applyFill="1" applyBorder="1" applyAlignment="1">
      <alignment horizontal="center" vertical="center" wrapText="1"/>
    </xf>
    <xf numFmtId="9" fontId="7" fillId="2" borderId="13" xfId="9" applyFont="1" applyFill="1" applyBorder="1" applyAlignment="1">
      <alignment horizontal="center" vertical="center"/>
    </xf>
    <xf numFmtId="0" fontId="7" fillId="2" borderId="1" xfId="9" applyNumberFormat="1" applyFont="1" applyFill="1" applyBorder="1" applyAlignment="1">
      <alignment horizontal="center" vertical="center"/>
    </xf>
    <xf numFmtId="171" fontId="6" fillId="2" borderId="13" xfId="5" applyNumberFormat="1" applyFont="1" applyFill="1" applyBorder="1" applyAlignment="1">
      <alignment horizontal="center" vertical="center"/>
    </xf>
    <xf numFmtId="171" fontId="6" fillId="2" borderId="1" xfId="5" applyNumberFormat="1" applyFont="1" applyFill="1" applyBorder="1" applyAlignment="1">
      <alignment horizontal="center" vertical="center"/>
    </xf>
    <xf numFmtId="9" fontId="6" fillId="2" borderId="13" xfId="3" applyNumberFormat="1" applyFont="1" applyFill="1" applyBorder="1" applyAlignment="1">
      <alignment horizontal="center" vertical="center"/>
    </xf>
    <xf numFmtId="9" fontId="6" fillId="2" borderId="1" xfId="3" applyNumberFormat="1" applyFont="1" applyFill="1" applyBorder="1" applyAlignment="1">
      <alignment horizontal="center" vertical="center"/>
    </xf>
    <xf numFmtId="0" fontId="6" fillId="2" borderId="13" xfId="9" applyNumberFormat="1" applyFont="1" applyFill="1" applyBorder="1" applyAlignment="1">
      <alignment horizontal="center" vertical="center" wrapText="1"/>
    </xf>
    <xf numFmtId="2" fontId="6" fillId="2" borderId="1" xfId="3" applyNumberFormat="1" applyFont="1" applyFill="1" applyBorder="1" applyAlignment="1">
      <alignment horizontal="center" vertical="center"/>
    </xf>
    <xf numFmtId="44" fontId="6" fillId="2" borderId="13" xfId="5" applyFont="1" applyFill="1" applyBorder="1" applyAlignment="1">
      <alignment horizontal="center" vertical="center"/>
    </xf>
    <xf numFmtId="44" fontId="6" fillId="2" borderId="1" xfId="5" applyFont="1" applyFill="1" applyBorder="1" applyAlignment="1">
      <alignment horizontal="center" vertical="center"/>
    </xf>
    <xf numFmtId="2" fontId="6" fillId="2" borderId="1" xfId="9" applyNumberFormat="1" applyFont="1" applyFill="1" applyBorder="1" applyAlignment="1">
      <alignment horizontal="center" vertical="center" wrapText="1"/>
    </xf>
    <xf numFmtId="9" fontId="12" fillId="2" borderId="1" xfId="0" applyNumberFormat="1" applyFont="1" applyFill="1" applyBorder="1" applyAlignment="1">
      <alignment horizontal="center" vertical="center"/>
    </xf>
    <xf numFmtId="165" fontId="6" fillId="2" borderId="1" xfId="3" applyNumberFormat="1" applyFont="1" applyFill="1" applyBorder="1" applyAlignment="1">
      <alignment horizontal="center" vertical="center" wrapText="1"/>
    </xf>
    <xf numFmtId="165" fontId="6" fillId="2" borderId="15" xfId="3" applyNumberFormat="1" applyFont="1" applyFill="1" applyBorder="1" applyAlignment="1">
      <alignment horizontal="center" vertical="center" wrapText="1"/>
    </xf>
    <xf numFmtId="9" fontId="12" fillId="2" borderId="15" xfId="0" applyNumberFormat="1" applyFont="1" applyFill="1" applyBorder="1" applyAlignment="1">
      <alignment horizontal="center" vertical="center"/>
    </xf>
    <xf numFmtId="9" fontId="6" fillId="2" borderId="18" xfId="9" applyFont="1" applyFill="1" applyBorder="1" applyAlignment="1">
      <alignment horizontal="center" vertical="center"/>
    </xf>
    <xf numFmtId="9" fontId="6" fillId="2" borderId="12" xfId="0" applyNumberFormat="1" applyFont="1" applyFill="1" applyBorder="1" applyAlignment="1">
      <alignment horizontal="center" vertical="center" wrapText="1"/>
    </xf>
    <xf numFmtId="9" fontId="7" fillId="2" borderId="1" xfId="9"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4" fillId="2" borderId="1" xfId="0" applyFont="1" applyFill="1" applyBorder="1" applyAlignment="1">
      <alignment horizontal="justify" vertical="center" wrapText="1"/>
    </xf>
    <xf numFmtId="0" fontId="3" fillId="2" borderId="24"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2" borderId="15" xfId="0" applyFont="1" applyFill="1" applyBorder="1" applyAlignment="1">
      <alignment horizontal="left" vertical="center" wrapText="1"/>
    </xf>
    <xf numFmtId="0" fontId="6" fillId="2" borderId="12" xfId="0" applyFont="1" applyFill="1" applyBorder="1" applyAlignment="1">
      <alignment horizontal="justify" vertical="center" wrapText="1"/>
    </xf>
    <xf numFmtId="0" fontId="6" fillId="2" borderId="1" xfId="0" applyFont="1" applyFill="1" applyBorder="1" applyAlignment="1">
      <alignment horizontal="justify" vertical="center" wrapText="1"/>
    </xf>
    <xf numFmtId="0" fontId="6" fillId="2" borderId="15" xfId="0" applyFont="1" applyFill="1" applyBorder="1" applyAlignment="1">
      <alignment horizontal="justify" vertical="center" wrapText="1"/>
    </xf>
    <xf numFmtId="0" fontId="7" fillId="2" borderId="12"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7" fillId="2" borderId="13" xfId="0" applyFont="1" applyFill="1" applyBorder="1" applyAlignment="1">
      <alignment horizontal="center" vertical="center" wrapText="1"/>
    </xf>
    <xf numFmtId="2" fontId="6" fillId="2" borderId="1" xfId="0" applyNumberFormat="1" applyFont="1" applyFill="1" applyBorder="1" applyAlignment="1">
      <alignment horizontal="center" vertical="center" wrapText="1"/>
    </xf>
    <xf numFmtId="0" fontId="7" fillId="2" borderId="1" xfId="0" applyFont="1" applyFill="1" applyBorder="1" applyAlignment="1">
      <alignment horizontal="justify" vertical="center" wrapText="1"/>
    </xf>
    <xf numFmtId="0" fontId="6" fillId="2" borderId="13" xfId="0" applyFont="1" applyFill="1" applyBorder="1" applyAlignment="1">
      <alignment horizontal="justify" vertical="center" wrapText="1"/>
    </xf>
    <xf numFmtId="0" fontId="4" fillId="2" borderId="13" xfId="0" applyFont="1" applyFill="1" applyBorder="1" applyAlignment="1">
      <alignment horizontal="justify" vertical="center" wrapText="1"/>
    </xf>
    <xf numFmtId="10" fontId="6" fillId="2" borderId="13" xfId="0" applyNumberFormat="1" applyFont="1" applyFill="1" applyBorder="1" applyAlignment="1">
      <alignment horizontal="center" vertical="center" wrapText="1"/>
    </xf>
    <xf numFmtId="0" fontId="4" fillId="2" borderId="15" xfId="0" applyFont="1" applyFill="1" applyBorder="1" applyAlignment="1">
      <alignment horizontal="justify" vertical="center" wrapText="1"/>
    </xf>
    <xf numFmtId="0" fontId="4" fillId="2" borderId="13" xfId="0" applyFont="1" applyFill="1" applyBorder="1" applyAlignment="1">
      <alignment horizontal="center" vertical="center" wrapText="1"/>
    </xf>
    <xf numFmtId="0" fontId="7" fillId="2" borderId="13" xfId="0" applyFont="1" applyFill="1" applyBorder="1" applyAlignment="1">
      <alignment horizontal="justify" vertical="center" wrapText="1"/>
    </xf>
    <xf numFmtId="0" fontId="7" fillId="2" borderId="15" xfId="0" applyFont="1" applyFill="1" applyBorder="1" applyAlignment="1">
      <alignment horizontal="justify" vertical="center" wrapText="1"/>
    </xf>
    <xf numFmtId="10" fontId="6" fillId="2" borderId="15" xfId="0" applyNumberFormat="1" applyFont="1" applyFill="1" applyBorder="1" applyAlignment="1">
      <alignment horizontal="center" vertical="center" wrapText="1"/>
    </xf>
    <xf numFmtId="0" fontId="3" fillId="2" borderId="28" xfId="0" applyFont="1" applyFill="1" applyBorder="1" applyAlignment="1">
      <alignment horizontal="center" vertical="center" wrapText="1"/>
    </xf>
    <xf numFmtId="0" fontId="9" fillId="2" borderId="1" xfId="0" applyFont="1" applyFill="1" applyBorder="1" applyAlignment="1">
      <alignment horizontal="center" vertical="center" wrapText="1"/>
    </xf>
    <xf numFmtId="9" fontId="6" fillId="2" borderId="13" xfId="0" applyNumberFormat="1"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1" xfId="0" applyFont="1" applyFill="1" applyBorder="1" applyAlignment="1">
      <alignment horizontal="left" vertical="center" wrapText="1"/>
    </xf>
    <xf numFmtId="166" fontId="6" fillId="2" borderId="1" xfId="0" applyNumberFormat="1" applyFont="1" applyFill="1" applyBorder="1" applyAlignment="1">
      <alignment horizontal="center" vertical="center" wrapText="1"/>
    </xf>
    <xf numFmtId="166" fontId="6" fillId="2" borderId="1" xfId="9" applyNumberFormat="1" applyFont="1" applyFill="1" applyBorder="1" applyAlignment="1">
      <alignment horizontal="center" vertical="center" wrapText="1"/>
    </xf>
    <xf numFmtId="0" fontId="6" fillId="3" borderId="3" xfId="0" applyFont="1" applyFill="1" applyBorder="1" applyAlignment="1">
      <alignment horizontal="center" wrapText="1"/>
    </xf>
    <xf numFmtId="0" fontId="6" fillId="3" borderId="5" xfId="0" applyFont="1" applyFill="1" applyBorder="1" applyAlignment="1">
      <alignment horizontal="center" wrapText="1"/>
    </xf>
    <xf numFmtId="0" fontId="8" fillId="3" borderId="3" xfId="0" applyFont="1" applyFill="1" applyBorder="1" applyAlignment="1">
      <alignment horizontal="center" wrapText="1"/>
    </xf>
    <xf numFmtId="0" fontId="8" fillId="3" borderId="5" xfId="0" applyFont="1" applyFill="1" applyBorder="1" applyAlignment="1">
      <alignment horizontal="center" wrapText="1"/>
    </xf>
    <xf numFmtId="0" fontId="4" fillId="2" borderId="1" xfId="8" applyFont="1" applyFill="1" applyBorder="1" applyAlignment="1">
      <alignment horizontal="center" vertical="center"/>
    </xf>
    <xf numFmtId="0" fontId="4" fillId="2" borderId="15" xfId="8" applyFont="1" applyFill="1" applyBorder="1" applyAlignment="1">
      <alignment horizontal="center" vertical="center"/>
    </xf>
    <xf numFmtId="0" fontId="6" fillId="2" borderId="1" xfId="8" applyFont="1" applyFill="1" applyBorder="1" applyAlignment="1">
      <alignment horizontal="center" vertical="center"/>
    </xf>
    <xf numFmtId="0" fontId="9" fillId="2" borderId="13" xfId="1" applyFont="1" applyFill="1" applyBorder="1" applyAlignment="1">
      <alignment horizontal="center" vertical="center" wrapText="1"/>
    </xf>
    <xf numFmtId="0" fontId="3" fillId="3" borderId="9" xfId="0" applyFont="1" applyFill="1" applyBorder="1" applyAlignment="1">
      <alignment horizontal="center" vertical="center"/>
    </xf>
    <xf numFmtId="0" fontId="3" fillId="3" borderId="22" xfId="0" applyFont="1" applyFill="1" applyBorder="1" applyAlignment="1">
      <alignment horizontal="center" vertical="center"/>
    </xf>
    <xf numFmtId="0" fontId="8" fillId="3" borderId="22"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9" fillId="2" borderId="13" xfId="1" applyFont="1" applyFill="1" applyBorder="1" applyAlignment="1">
      <alignment horizontal="justify" vertical="center" wrapText="1"/>
    </xf>
    <xf numFmtId="0" fontId="9" fillId="2" borderId="1" xfId="1" applyFont="1" applyFill="1" applyBorder="1" applyAlignment="1">
      <alignment horizontal="justify" vertical="center" wrapText="1"/>
    </xf>
    <xf numFmtId="0" fontId="4" fillId="2" borderId="1" xfId="2" applyFont="1" applyFill="1" applyBorder="1" applyAlignment="1">
      <alignment horizontal="center" vertical="center" wrapText="1"/>
    </xf>
    <xf numFmtId="0" fontId="4" fillId="2" borderId="15" xfId="2" applyFont="1" applyFill="1" applyBorder="1" applyAlignment="1">
      <alignment horizontal="center" vertical="center" wrapText="1"/>
    </xf>
    <xf numFmtId="0" fontId="9" fillId="2" borderId="1" xfId="2" applyFont="1" applyFill="1" applyBorder="1" applyAlignment="1">
      <alignment horizontal="justify" vertical="center" wrapText="1"/>
    </xf>
    <xf numFmtId="1" fontId="6" fillId="2" borderId="1" xfId="0" applyNumberFormat="1" applyFont="1" applyFill="1" applyBorder="1" applyAlignment="1">
      <alignment horizontal="center" vertical="center" wrapText="1"/>
    </xf>
    <xf numFmtId="0" fontId="4" fillId="2" borderId="1" xfId="1" applyFont="1" applyFill="1" applyBorder="1" applyAlignment="1">
      <alignment horizontal="center" vertical="center" wrapText="1"/>
    </xf>
    <xf numFmtId="0" fontId="4" fillId="2" borderId="15" xfId="1" applyFont="1" applyFill="1" applyBorder="1" applyAlignment="1">
      <alignment horizontal="center" vertical="center" wrapText="1"/>
    </xf>
    <xf numFmtId="0" fontId="9" fillId="2" borderId="13" xfId="2" applyFont="1" applyFill="1" applyBorder="1" applyAlignment="1">
      <alignment horizontal="justify" vertical="center" wrapText="1"/>
    </xf>
    <xf numFmtId="0" fontId="9" fillId="2" borderId="15" xfId="2" applyFont="1" applyFill="1" applyBorder="1" applyAlignment="1">
      <alignment horizontal="justify" vertical="center" wrapText="1"/>
    </xf>
    <xf numFmtId="0" fontId="9" fillId="2" borderId="13" xfId="2" applyFont="1" applyFill="1" applyBorder="1" applyAlignment="1">
      <alignment horizontal="center" vertical="center" wrapText="1"/>
    </xf>
    <xf numFmtId="0" fontId="9" fillId="2" borderId="1" xfId="2" applyFont="1" applyFill="1" applyBorder="1" applyAlignment="1">
      <alignment horizontal="center" vertical="center" wrapText="1"/>
    </xf>
    <xf numFmtId="1" fontId="6" fillId="2" borderId="13" xfId="0" applyNumberFormat="1" applyFont="1" applyFill="1" applyBorder="1" applyAlignment="1">
      <alignment horizontal="center" vertical="center" wrapText="1"/>
    </xf>
    <xf numFmtId="9" fontId="6" fillId="2" borderId="15" xfId="0" applyNumberFormat="1" applyFont="1" applyFill="1" applyBorder="1" applyAlignment="1">
      <alignment horizontal="center" vertical="center" wrapText="1"/>
    </xf>
    <xf numFmtId="0" fontId="9" fillId="2" borderId="13" xfId="1" applyFont="1" applyFill="1" applyBorder="1" applyAlignment="1">
      <alignment horizontal="left" vertical="center" wrapText="1"/>
    </xf>
    <xf numFmtId="0" fontId="9" fillId="2" borderId="15" xfId="1" applyFont="1" applyFill="1" applyBorder="1" applyAlignment="1">
      <alignment horizontal="left" vertical="center" wrapText="1"/>
    </xf>
    <xf numFmtId="0" fontId="4" fillId="2" borderId="1" xfId="2" applyFont="1" applyFill="1" applyBorder="1" applyAlignment="1">
      <alignment horizontal="justify" vertical="center" wrapText="1"/>
    </xf>
    <xf numFmtId="0" fontId="4" fillId="2" borderId="15" xfId="2" applyFont="1" applyFill="1" applyBorder="1" applyAlignment="1">
      <alignment horizontal="justify" vertical="center" wrapText="1"/>
    </xf>
    <xf numFmtId="0" fontId="9" fillId="2" borderId="13"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6" fillId="2" borderId="13" xfId="8" applyFont="1" applyFill="1" applyBorder="1" applyAlignment="1">
      <alignment horizontal="center" vertical="center"/>
    </xf>
    <xf numFmtId="0" fontId="8" fillId="3" borderId="8"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23" xfId="0" applyFont="1" applyFill="1" applyBorder="1" applyAlignment="1">
      <alignment horizontal="center" vertical="center" wrapText="1"/>
    </xf>
    <xf numFmtId="10" fontId="6" fillId="2" borderId="13" xfId="9" applyNumberFormat="1" applyFont="1" applyFill="1" applyBorder="1" applyAlignment="1">
      <alignment horizontal="center" vertical="center" wrapText="1"/>
    </xf>
    <xf numFmtId="0" fontId="8" fillId="3" borderId="9" xfId="0" applyFont="1" applyFill="1" applyBorder="1" applyAlignment="1">
      <alignment horizontal="center" vertical="center"/>
    </xf>
    <xf numFmtId="0" fontId="8" fillId="3" borderId="22" xfId="0" applyFont="1" applyFill="1" applyBorder="1" applyAlignment="1">
      <alignment horizontal="center" vertical="center"/>
    </xf>
    <xf numFmtId="0" fontId="4" fillId="2" borderId="1" xfId="1" applyFont="1" applyFill="1" applyBorder="1" applyAlignment="1">
      <alignment horizontal="justify" vertical="center" wrapText="1"/>
    </xf>
    <xf numFmtId="0" fontId="4" fillId="2" borderId="15" xfId="1" applyFont="1" applyFill="1" applyBorder="1" applyAlignment="1">
      <alignment horizontal="justify" vertical="center" wrapText="1"/>
    </xf>
    <xf numFmtId="0" fontId="3" fillId="2" borderId="24" xfId="7" applyNumberFormat="1" applyFont="1" applyFill="1" applyBorder="1" applyAlignment="1">
      <alignment horizontal="center" vertical="center" wrapText="1"/>
    </xf>
    <xf numFmtId="0" fontId="3" fillId="2" borderId="20" xfId="7" applyNumberFormat="1" applyFont="1" applyFill="1" applyBorder="1" applyAlignment="1">
      <alignment horizontal="center" vertical="center" wrapText="1"/>
    </xf>
    <xf numFmtId="0" fontId="6" fillId="2" borderId="13" xfId="0" applyFont="1" applyFill="1" applyBorder="1" applyAlignment="1">
      <alignment horizontal="center" vertical="center"/>
    </xf>
    <xf numFmtId="168" fontId="4" fillId="2" borderId="1" xfId="9" applyNumberFormat="1" applyFont="1" applyFill="1" applyBorder="1" applyAlignment="1">
      <alignment horizontal="center" vertical="center"/>
    </xf>
    <xf numFmtId="9" fontId="4" fillId="2" borderId="15" xfId="9" applyFont="1" applyFill="1" applyBorder="1" applyAlignment="1">
      <alignment horizontal="center" vertical="center" wrapText="1"/>
    </xf>
    <xf numFmtId="0" fontId="8" fillId="2" borderId="1" xfId="0" applyFont="1" applyFill="1" applyBorder="1" applyAlignment="1">
      <alignment horizontal="center" vertical="center" wrapText="1"/>
    </xf>
    <xf numFmtId="0" fontId="4" fillId="2" borderId="12" xfId="0" applyFont="1" applyFill="1" applyBorder="1" applyAlignment="1">
      <alignment horizontal="left" vertical="center" wrapText="1"/>
    </xf>
    <xf numFmtId="9" fontId="6" fillId="2" borderId="12" xfId="0" applyNumberFormat="1" applyFont="1" applyFill="1" applyBorder="1" applyAlignment="1">
      <alignment horizontal="center" vertical="center"/>
    </xf>
    <xf numFmtId="0" fontId="4" fillId="2" borderId="13" xfId="0" applyFont="1" applyFill="1" applyBorder="1" applyAlignment="1">
      <alignment horizontal="center" vertical="center"/>
    </xf>
    <xf numFmtId="168" fontId="6" fillId="2" borderId="1" xfId="9" applyNumberFormat="1" applyFont="1" applyFill="1" applyBorder="1" applyAlignment="1">
      <alignment horizontal="center" vertical="center" wrapText="1"/>
    </xf>
    <xf numFmtId="10" fontId="4" fillId="2" borderId="15" xfId="0" applyNumberFormat="1" applyFont="1" applyFill="1" applyBorder="1" applyAlignment="1">
      <alignment horizontal="center" vertical="center"/>
    </xf>
    <xf numFmtId="9" fontId="6" fillId="2" borderId="12" xfId="9" applyFont="1" applyFill="1" applyBorder="1" applyAlignment="1">
      <alignment horizontal="center" vertical="center" wrapText="1"/>
    </xf>
    <xf numFmtId="0" fontId="6" fillId="2" borderId="31" xfId="0" applyFont="1" applyFill="1" applyBorder="1" applyAlignment="1">
      <alignment horizontal="center"/>
    </xf>
    <xf numFmtId="9" fontId="6" fillId="2" borderId="15" xfId="9" applyFont="1" applyFill="1" applyBorder="1" applyAlignment="1">
      <alignment horizontal="center" vertical="top" wrapText="1"/>
    </xf>
    <xf numFmtId="9" fontId="4" fillId="2" borderId="13" xfId="9" applyFont="1" applyFill="1" applyBorder="1" applyAlignment="1">
      <alignment horizontal="center" vertical="center" wrapText="1"/>
    </xf>
    <xf numFmtId="9" fontId="6" fillId="2" borderId="27" xfId="9" applyFont="1" applyFill="1" applyBorder="1" applyAlignment="1">
      <alignment horizontal="center" vertical="center"/>
    </xf>
    <xf numFmtId="0" fontId="6" fillId="3" borderId="32" xfId="0" applyFont="1" applyFill="1" applyBorder="1" applyAlignment="1">
      <alignment wrapText="1"/>
    </xf>
    <xf numFmtId="0" fontId="8" fillId="3" borderId="1"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3" borderId="1" xfId="0" applyFont="1" applyFill="1" applyBorder="1" applyAlignment="1">
      <alignment horizontal="center" vertical="center"/>
    </xf>
    <xf numFmtId="0" fontId="8" fillId="3" borderId="34"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7" fillId="2" borderId="13" xfId="0" applyFont="1" applyFill="1" applyBorder="1" applyAlignment="1">
      <alignment horizontal="left" vertical="center" wrapText="1"/>
    </xf>
    <xf numFmtId="0" fontId="6" fillId="2" borderId="0" xfId="0" applyFont="1" applyFill="1" applyBorder="1"/>
    <xf numFmtId="0" fontId="6" fillId="2" borderId="0" xfId="0" applyFont="1" applyFill="1" applyBorder="1" applyAlignment="1">
      <alignment horizontal="center"/>
    </xf>
    <xf numFmtId="0" fontId="8" fillId="2" borderId="10" xfId="0" applyFont="1" applyFill="1" applyBorder="1" applyAlignment="1">
      <alignment horizontal="center" vertical="center"/>
    </xf>
    <xf numFmtId="0" fontId="8" fillId="2" borderId="0" xfId="0" applyFont="1" applyFill="1" applyAlignment="1">
      <alignment horizontal="center" vertical="center"/>
    </xf>
    <xf numFmtId="0" fontId="8" fillId="2" borderId="11" xfId="0" applyFont="1" applyFill="1" applyBorder="1" applyAlignment="1">
      <alignment horizontal="center" vertical="center"/>
    </xf>
    <xf numFmtId="0" fontId="8" fillId="2" borderId="6" xfId="0" applyFont="1" applyFill="1" applyBorder="1" applyAlignment="1">
      <alignment horizontal="center" vertical="center"/>
    </xf>
  </cellXfs>
  <cellStyles count="13">
    <cellStyle name="Excel Built-in Normal" xfId="1"/>
    <cellStyle name="Excel Built-in Normal 1" xfId="2"/>
    <cellStyle name="Hipervínculo" xfId="12" builtinId="8"/>
    <cellStyle name="Millares" xfId="3" builtinId="3"/>
    <cellStyle name="Millares 2" xfId="4"/>
    <cellStyle name="Moneda" xfId="5" builtinId="4"/>
    <cellStyle name="Moneda 2" xfId="6"/>
    <cellStyle name="Moneda 3" xfId="11"/>
    <cellStyle name="Normal" xfId="0" builtinId="0"/>
    <cellStyle name="Normal 2" xfId="7"/>
    <cellStyle name="Normal 3" xfId="8"/>
    <cellStyle name="Porcentaje" xfId="9" builtinId="5"/>
    <cellStyle name="Porcentaje 2" xfId="1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66FF66"/>
      <color rgb="FFCC99FF"/>
      <color rgb="FF92CDDC"/>
      <color rgb="FFCCECFF"/>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106434</xdr:colOff>
      <xdr:row>1</xdr:row>
      <xdr:rowOff>469900</xdr:rowOff>
    </xdr:to>
    <xdr:pic>
      <xdr:nvPicPr>
        <xdr:cNvPr id="313651" name="Imagen 4" descr="Descripción: C:\Users\GAS-DOM7\Desktop\Logo oficial EPQ -01.jpg">
          <a:extLst>
            <a:ext uri="{FF2B5EF4-FFF2-40B4-BE49-F238E27FC236}">
              <a16:creationId xmlns="" xmlns:a16="http://schemas.microsoft.com/office/drawing/2014/main" id="{00000000-0008-0000-0000-000033C904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0"/>
          <a:ext cx="1524000" cy="660400"/>
        </a:xfrm>
        <a:prstGeom prst="rect">
          <a:avLst/>
        </a:prstGeom>
        <a:noFill/>
        <a:ln w="9525">
          <a:noFill/>
          <a:miter lim="800000"/>
          <a:headEnd/>
          <a:tailEnd/>
        </a:ln>
      </xdr:spPr>
    </xdr:pic>
    <xdr:clientData/>
  </xdr:twoCellAnchor>
  <xdr:twoCellAnchor editAs="oneCell">
    <xdr:from>
      <xdr:col>16</xdr:col>
      <xdr:colOff>876103</xdr:colOff>
      <xdr:row>132</xdr:row>
      <xdr:rowOff>79258</xdr:rowOff>
    </xdr:from>
    <xdr:to>
      <xdr:col>17</xdr:col>
      <xdr:colOff>1392602</xdr:colOff>
      <xdr:row>138</xdr:row>
      <xdr:rowOff>3783</xdr:rowOff>
    </xdr:to>
    <xdr:pic>
      <xdr:nvPicPr>
        <xdr:cNvPr id="313652" name="2 Imagen" descr="C:\Users\Usuario\Desktop\LOGO CALIDAD-01.png">
          <a:extLst>
            <a:ext uri="{FF2B5EF4-FFF2-40B4-BE49-F238E27FC236}">
              <a16:creationId xmlns="" xmlns:a16="http://schemas.microsoft.com/office/drawing/2014/main" id="{00000000-0008-0000-0000-000034C904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7708139" y="54657508"/>
          <a:ext cx="1428177" cy="815793"/>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EMP.Rodrigo-PC.010\Downloads\BAL%2004%2005%2006%20PLAN%20ACCION\BAL%20SEP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oja1"/>
      <sheetName val="Hoja2"/>
    </sheetNames>
    <sheetDataSet>
      <sheetData sheetId="0" refreshError="1"/>
      <sheetData sheetId="1" refreshError="1"/>
      <sheetData sheetId="2" refreshError="1">
        <row r="86">
          <cell r="G86">
            <v>7868722096.9850197</v>
          </cell>
        </row>
        <row r="87">
          <cell r="G87">
            <v>5325921914.8894501</v>
          </cell>
        </row>
        <row r="89">
          <cell r="G89">
            <v>17359745408.88945</v>
          </cell>
        </row>
        <row r="90">
          <cell r="G90">
            <v>67243493952.985016</v>
          </cell>
        </row>
      </sheetData>
    </sheetDataSet>
  </externalBook>
</externalLink>
</file>

<file path=xl/persons/person.xml><?xml version="1.0" encoding="utf-8"?>
<personList xmlns="http://schemas.microsoft.com/office/spreadsheetml/2018/threadedcomments" xmlns:x="http://schemas.openxmlformats.org/spreadsheetml/2006/main">
  <person displayName="JEFE PLANEACION C" id="{1B65C281-07F8-4A4F-A07E-1EA281A350C6}" userId="JEFE PLANEACION C"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W4" dT="2023-04-12T22:02:11.80" personId="{1B65C281-07F8-4A4F-A07E-1EA281A350C6}" id="{42D3049F-6B37-457C-A752-7016258D0C2C}">
    <text>La meta acumulada en cada cuatrimestre</text>
  </threadedComment>
  <threadedComment ref="Y4" dT="2023-04-12T16:34:37.59" personId="{1B65C281-07F8-4A4F-A07E-1EA281A350C6}" id="{D4D1E5D6-5717-4703-AAF9-7CAB3367B6ED}">
    <text>Lo que se espera alcanzar</text>
  </threadedComment>
  <threadedComment ref="R20" dT="2023-05-23T21:19:17.62" personId="{1B65C281-07F8-4A4F-A07E-1EA281A350C6}" id="{39318E39-9150-4B0D-BC7B-94D8A438F0E6}">
    <text>En este espacio columna (J)va el resultado de la formula realizada en la columna I</text>
  </threadedComment>
  <threadedComment ref="R20" dT="2023-05-23T21:22:03.49" personId="{1B65C281-07F8-4A4F-A07E-1EA281A350C6}" id="{A5AEDBB7-3A41-46FA-BCC3-4E9E7C16FF65}" parentId="{39318E39-9150-4B0D-BC7B-94D8A438F0E6}">
    <text>En la columna f esta la formula q cada proceso debe aplicar.</text>
  </threadedComment>
  <threadedComment ref="H50" dT="2023-05-25T14:15:37.35" personId="{1B65C281-07F8-4A4F-A07E-1EA281A350C6}" id="{2F0048CF-C5BF-4CEA-92C6-8794AC33116F}">
    <text>Meta superada del plan estrategico</text>
  </threadedComment>
  <threadedComment ref="H125" dT="2023-05-25T14:53:32.63" personId="{1B65C281-07F8-4A4F-A07E-1EA281A350C6}" id="{BC068EC9-3E40-483B-8570-007149D8CA32}">
    <text>La meta establecida es 99</text>
  </threadedComment>
</ThreadedComments>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file:///C:\TEMP.Rodrigo-PC.010\Downloads\actualizaciones%20sitio%20web.pdf" TargetMode="External"/><Relationship Id="rId7" Type="http://schemas.openxmlformats.org/officeDocument/2006/relationships/printerSettings" Target="../printerSettings/printerSettings1.bin"/><Relationship Id="rId2" Type="http://schemas.openxmlformats.org/officeDocument/2006/relationships/hyperlink" Target="https://www.epq.gov.co/index.php/es/transparencia-y-acceso-a-la-informacion/politicas-planes-o-lineas-estrategicas.html" TargetMode="External"/><Relationship Id="rId1" Type="http://schemas.openxmlformats.org/officeDocument/2006/relationships/hyperlink" Target="https://www.epq.gov.co/images/control%20interno/2023/resultados_meci_epq.pdf" TargetMode="External"/><Relationship Id="rId6" Type="http://schemas.openxmlformats.org/officeDocument/2006/relationships/hyperlink" Target="file:///C:\TEMP.Rodrigo-PC.010\Downloads\herramientas%20tecnol&#243;gicas.pdf" TargetMode="External"/><Relationship Id="rId11" Type="http://schemas.microsoft.com/office/2017/10/relationships/threadedComment" Target="../threadedComments/threadedComment1.xml"/><Relationship Id="rId5" Type="http://schemas.openxmlformats.org/officeDocument/2006/relationships/hyperlink" Target="file:///C:\TEMP.Rodrigo-PC.010\Downloads\soportes.pdf" TargetMode="External"/><Relationship Id="rId10" Type="http://schemas.openxmlformats.org/officeDocument/2006/relationships/comments" Target="../comments1.xml"/><Relationship Id="rId4" Type="http://schemas.openxmlformats.org/officeDocument/2006/relationships/hyperlink" Target="file:///C:\TEMP.Rodrigo-PC.010\Downloads\MODULOS%20NEXIS.pdf" TargetMode="External"/><Relationship Id="rId9"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CFF99"/>
    <pageSetUpPr fitToPage="1"/>
  </sheetPr>
  <dimension ref="A1:Z141"/>
  <sheetViews>
    <sheetView tabSelected="1" zoomScale="80" zoomScaleNormal="80" zoomScaleSheetLayoutView="50" workbookViewId="0">
      <selection sqref="A1:Y2"/>
    </sheetView>
  </sheetViews>
  <sheetFormatPr baseColWidth="10" defaultColWidth="11.42578125" defaultRowHeight="11.25"/>
  <cols>
    <col min="1" max="1" width="21.140625" style="2" customWidth="1"/>
    <col min="2" max="2" width="20.5703125" style="1" hidden="1" customWidth="1"/>
    <col min="3" max="3" width="25.5703125" style="1" customWidth="1"/>
    <col min="4" max="4" width="16.85546875" style="1" hidden="1" customWidth="1"/>
    <col min="5" max="5" width="29.42578125" style="16" customWidth="1"/>
    <col min="6" max="6" width="26.7109375" style="16" customWidth="1"/>
    <col min="7" max="7" width="20.7109375" style="1" customWidth="1"/>
    <col min="8" max="8" width="17" style="1" customWidth="1"/>
    <col min="9" max="9" width="17.85546875" style="1" customWidth="1"/>
    <col min="10" max="10" width="8.28515625" style="1" bestFit="1" customWidth="1"/>
    <col min="11" max="11" width="16.5703125" style="1" customWidth="1"/>
    <col min="12" max="12" width="11.7109375" style="1" customWidth="1"/>
    <col min="13" max="13" width="18" style="1" customWidth="1"/>
    <col min="14" max="14" width="11.5703125" style="1" customWidth="1"/>
    <col min="15" max="15" width="14.42578125" style="1" customWidth="1"/>
    <col min="16" max="16" width="13.28515625" style="1" customWidth="1"/>
    <col min="17" max="17" width="13.5703125" style="1" customWidth="1"/>
    <col min="18" max="18" width="94.5703125" style="1" customWidth="1"/>
    <col min="19" max="19" width="14.5703125" style="1" customWidth="1"/>
    <col min="20" max="20" width="12.140625" style="1" customWidth="1"/>
    <col min="21" max="21" width="71.28515625" style="1" customWidth="1"/>
    <col min="22" max="22" width="71" style="1" customWidth="1"/>
    <col min="23" max="23" width="16.5703125" style="1" customWidth="1"/>
    <col min="24" max="24" width="11.42578125" style="1"/>
    <col min="25" max="25" width="61" style="1" customWidth="1"/>
    <col min="26" max="16384" width="11.42578125" style="1"/>
  </cols>
  <sheetData>
    <row r="1" spans="1:25" ht="15" customHeight="1">
      <c r="A1" s="416" t="s">
        <v>460</v>
      </c>
      <c r="B1" s="417"/>
      <c r="C1" s="417"/>
      <c r="D1" s="417"/>
      <c r="E1" s="417"/>
      <c r="F1" s="417"/>
      <c r="G1" s="417"/>
      <c r="H1" s="417"/>
      <c r="I1" s="417"/>
      <c r="J1" s="417"/>
      <c r="K1" s="417"/>
      <c r="L1" s="417"/>
      <c r="M1" s="417"/>
      <c r="N1" s="417"/>
      <c r="O1" s="417"/>
      <c r="P1" s="417"/>
      <c r="Q1" s="417"/>
      <c r="R1" s="417"/>
      <c r="S1" s="417"/>
      <c r="T1" s="417"/>
      <c r="U1" s="417"/>
      <c r="V1" s="417"/>
      <c r="W1" s="417"/>
      <c r="X1" s="417"/>
      <c r="Y1" s="417"/>
    </row>
    <row r="2" spans="1:25" ht="42" customHeight="1" thickBot="1">
      <c r="A2" s="418"/>
      <c r="B2" s="419"/>
      <c r="C2" s="419"/>
      <c r="D2" s="419"/>
      <c r="E2" s="419"/>
      <c r="F2" s="419"/>
      <c r="G2" s="419"/>
      <c r="H2" s="419"/>
      <c r="I2" s="419"/>
      <c r="J2" s="419"/>
      <c r="K2" s="419"/>
      <c r="L2" s="419"/>
      <c r="M2" s="419"/>
      <c r="N2" s="419"/>
      <c r="O2" s="419"/>
      <c r="P2" s="419"/>
      <c r="Q2" s="419"/>
      <c r="R2" s="419"/>
      <c r="S2" s="419"/>
      <c r="T2" s="419"/>
      <c r="U2" s="419"/>
      <c r="V2" s="419"/>
      <c r="W2" s="419"/>
      <c r="X2" s="419"/>
      <c r="Y2" s="419"/>
    </row>
    <row r="3" spans="1:25" s="16" customFormat="1" ht="21.75" customHeight="1" thickBot="1">
      <c r="A3" s="3" t="s">
        <v>2</v>
      </c>
      <c r="B3" s="347" t="s">
        <v>459</v>
      </c>
      <c r="C3" s="348"/>
      <c r="D3" s="7" t="s">
        <v>248</v>
      </c>
      <c r="E3" s="8" t="s">
        <v>461</v>
      </c>
      <c r="F3" s="4" t="s">
        <v>7</v>
      </c>
      <c r="G3" s="5"/>
      <c r="H3" s="5"/>
      <c r="I3" s="5"/>
      <c r="J3" s="5"/>
      <c r="K3" s="5"/>
      <c r="L3" s="5"/>
      <c r="M3" s="5"/>
      <c r="N3" s="5"/>
      <c r="O3" s="5"/>
      <c r="P3" s="5"/>
      <c r="Q3" s="5"/>
      <c r="R3" s="405"/>
      <c r="S3" s="405"/>
      <c r="T3" s="405"/>
      <c r="U3" s="405"/>
      <c r="V3" s="405"/>
      <c r="W3" s="5"/>
      <c r="X3" s="5"/>
      <c r="Y3" s="6"/>
    </row>
    <row r="4" spans="1:25" ht="47.25" customHeight="1" thickBot="1">
      <c r="A4" s="349" t="s">
        <v>1</v>
      </c>
      <c r="B4" s="350"/>
      <c r="C4" s="251" t="s">
        <v>8</v>
      </c>
      <c r="D4" s="251" t="s">
        <v>9</v>
      </c>
      <c r="E4" s="251" t="s">
        <v>5</v>
      </c>
      <c r="F4" s="355" t="s">
        <v>6</v>
      </c>
      <c r="G4" s="108" t="s">
        <v>453</v>
      </c>
      <c r="H4" s="108" t="s">
        <v>270</v>
      </c>
      <c r="I4" s="380" t="s">
        <v>330</v>
      </c>
      <c r="J4" s="381"/>
      <c r="K4" s="193" t="s">
        <v>331</v>
      </c>
      <c r="L4" s="194"/>
      <c r="M4" s="193" t="s">
        <v>332</v>
      </c>
      <c r="N4" s="194"/>
      <c r="O4" s="385" t="s">
        <v>273</v>
      </c>
      <c r="P4" s="251" t="s">
        <v>274</v>
      </c>
      <c r="Q4" s="409" t="s">
        <v>275</v>
      </c>
      <c r="R4" s="410" t="s">
        <v>249</v>
      </c>
      <c r="S4" s="410"/>
      <c r="T4" s="410"/>
      <c r="U4" s="407" t="s">
        <v>250</v>
      </c>
      <c r="V4" s="406" t="s">
        <v>251</v>
      </c>
      <c r="W4" s="381" t="s">
        <v>252</v>
      </c>
      <c r="X4" s="110" t="s">
        <v>253</v>
      </c>
      <c r="Y4" s="108" t="s">
        <v>254</v>
      </c>
    </row>
    <row r="5" spans="1:25" ht="73.5" customHeight="1" thickBot="1">
      <c r="A5" s="358" t="s">
        <v>60</v>
      </c>
      <c r="B5" s="206"/>
      <c r="C5" s="252"/>
      <c r="D5" s="252"/>
      <c r="E5" s="252"/>
      <c r="F5" s="356"/>
      <c r="G5" s="357"/>
      <c r="H5" s="357"/>
      <c r="I5" s="382"/>
      <c r="J5" s="383"/>
      <c r="K5" s="195"/>
      <c r="L5" s="196"/>
      <c r="M5" s="195"/>
      <c r="N5" s="196"/>
      <c r="O5" s="386"/>
      <c r="P5" s="252"/>
      <c r="Q5" s="207"/>
      <c r="R5" s="59" t="s">
        <v>255</v>
      </c>
      <c r="S5" s="97" t="s">
        <v>256</v>
      </c>
      <c r="T5" s="98" t="s">
        <v>257</v>
      </c>
      <c r="U5" s="408"/>
      <c r="V5" s="406"/>
      <c r="W5" s="411"/>
      <c r="X5" s="111"/>
      <c r="Y5" s="109"/>
    </row>
    <row r="6" spans="1:25" ht="50.25" customHeight="1">
      <c r="A6" s="60" t="s">
        <v>3</v>
      </c>
      <c r="B6" s="61" t="s">
        <v>4</v>
      </c>
      <c r="C6" s="354" t="s">
        <v>11</v>
      </c>
      <c r="D6" s="354" t="s">
        <v>0</v>
      </c>
      <c r="E6" s="359" t="s">
        <v>23</v>
      </c>
      <c r="F6" s="62" t="s">
        <v>24</v>
      </c>
      <c r="G6" s="342">
        <v>1</v>
      </c>
      <c r="H6" s="130">
        <v>1</v>
      </c>
      <c r="I6" s="63">
        <v>1</v>
      </c>
      <c r="J6" s="130">
        <f>I6/I7</f>
        <v>0.33333333333333331</v>
      </c>
      <c r="K6" s="63">
        <v>2</v>
      </c>
      <c r="L6" s="130">
        <f>K6/K7</f>
        <v>0.66666666666666663</v>
      </c>
      <c r="M6" s="63">
        <v>3</v>
      </c>
      <c r="N6" s="130">
        <f>M6/M7</f>
        <v>1</v>
      </c>
      <c r="O6" s="192">
        <f>J6</f>
        <v>0.33333333333333331</v>
      </c>
      <c r="P6" s="192">
        <f>L6</f>
        <v>0.66666666666666663</v>
      </c>
      <c r="Q6" s="192">
        <f>N6</f>
        <v>1</v>
      </c>
      <c r="R6" s="170" t="s">
        <v>349</v>
      </c>
      <c r="S6" s="171">
        <v>45170</v>
      </c>
      <c r="T6" s="171">
        <v>45291</v>
      </c>
      <c r="U6" s="170" t="s">
        <v>350</v>
      </c>
      <c r="V6" s="412" t="s">
        <v>351</v>
      </c>
      <c r="W6" s="192">
        <f>Q6</f>
        <v>1</v>
      </c>
      <c r="X6" s="192">
        <f>W6</f>
        <v>1</v>
      </c>
      <c r="Y6" s="185" t="s">
        <v>333</v>
      </c>
    </row>
    <row r="7" spans="1:25" ht="34.5" customHeight="1">
      <c r="A7" s="320" t="s">
        <v>10</v>
      </c>
      <c r="B7" s="140" t="s">
        <v>61</v>
      </c>
      <c r="C7" s="104"/>
      <c r="D7" s="104"/>
      <c r="E7" s="360"/>
      <c r="F7" s="33" t="s">
        <v>25</v>
      </c>
      <c r="G7" s="140"/>
      <c r="H7" s="112"/>
      <c r="I7" s="36">
        <v>3</v>
      </c>
      <c r="J7" s="112"/>
      <c r="K7" s="36">
        <v>3</v>
      </c>
      <c r="L7" s="112"/>
      <c r="M7" s="36">
        <v>3</v>
      </c>
      <c r="N7" s="112"/>
      <c r="O7" s="172"/>
      <c r="P7" s="172"/>
      <c r="Q7" s="172"/>
      <c r="R7" s="140"/>
      <c r="S7" s="172"/>
      <c r="T7" s="172"/>
      <c r="U7" s="140"/>
      <c r="V7" s="140"/>
      <c r="W7" s="172"/>
      <c r="X7" s="172"/>
      <c r="Y7" s="174"/>
    </row>
    <row r="8" spans="1:25" ht="52.5" customHeight="1">
      <c r="A8" s="320"/>
      <c r="B8" s="140"/>
      <c r="C8" s="104" t="s">
        <v>12</v>
      </c>
      <c r="D8" s="104" t="s">
        <v>0</v>
      </c>
      <c r="E8" s="360" t="s">
        <v>26</v>
      </c>
      <c r="F8" s="33" t="s">
        <v>272</v>
      </c>
      <c r="G8" s="364">
        <v>15</v>
      </c>
      <c r="H8" s="291">
        <v>15</v>
      </c>
      <c r="I8" s="36">
        <v>15</v>
      </c>
      <c r="J8" s="112">
        <f>I8/I9</f>
        <v>1</v>
      </c>
      <c r="K8" s="36">
        <v>15</v>
      </c>
      <c r="L8" s="118">
        <f>K8/K9</f>
        <v>1</v>
      </c>
      <c r="M8" s="36">
        <v>15</v>
      </c>
      <c r="N8" s="112">
        <f>M8/M9</f>
        <v>1</v>
      </c>
      <c r="O8" s="118">
        <v>1</v>
      </c>
      <c r="P8" s="118">
        <v>1</v>
      </c>
      <c r="Q8" s="118">
        <f>N8</f>
        <v>1</v>
      </c>
      <c r="R8" s="140" t="s">
        <v>327</v>
      </c>
      <c r="S8" s="173">
        <v>45170</v>
      </c>
      <c r="T8" s="173">
        <v>45291</v>
      </c>
      <c r="U8" s="112" t="s">
        <v>328</v>
      </c>
      <c r="V8" s="285" t="s">
        <v>329</v>
      </c>
      <c r="W8" s="118">
        <f>(O8+P8+Q8)/3</f>
        <v>1</v>
      </c>
      <c r="X8" s="118">
        <f>P8</f>
        <v>1</v>
      </c>
      <c r="Y8" s="221" t="s">
        <v>284</v>
      </c>
    </row>
    <row r="9" spans="1:25" ht="62.25" customHeight="1">
      <c r="A9" s="320"/>
      <c r="B9" s="140"/>
      <c r="C9" s="104"/>
      <c r="D9" s="104"/>
      <c r="E9" s="360"/>
      <c r="F9" s="33" t="s">
        <v>27</v>
      </c>
      <c r="G9" s="364">
        <v>16</v>
      </c>
      <c r="H9" s="291"/>
      <c r="I9" s="36">
        <v>15</v>
      </c>
      <c r="J9" s="112"/>
      <c r="K9" s="36">
        <v>15</v>
      </c>
      <c r="L9" s="118"/>
      <c r="M9" s="36">
        <v>15</v>
      </c>
      <c r="N9" s="112"/>
      <c r="O9" s="118"/>
      <c r="P9" s="118"/>
      <c r="Q9" s="118"/>
      <c r="R9" s="140"/>
      <c r="S9" s="172"/>
      <c r="T9" s="172"/>
      <c r="U9" s="112"/>
      <c r="V9" s="285"/>
      <c r="W9" s="118"/>
      <c r="X9" s="118"/>
      <c r="Y9" s="221"/>
    </row>
    <row r="10" spans="1:25" s="2" customFormat="1" ht="27.75" customHeight="1">
      <c r="A10" s="320"/>
      <c r="B10" s="140"/>
      <c r="C10" s="365" t="s">
        <v>13</v>
      </c>
      <c r="D10" s="365" t="s">
        <v>0</v>
      </c>
      <c r="E10" s="387" t="s">
        <v>28</v>
      </c>
      <c r="F10" s="365" t="s">
        <v>29</v>
      </c>
      <c r="G10" s="166">
        <v>2</v>
      </c>
      <c r="H10" s="166">
        <v>2</v>
      </c>
      <c r="I10" s="36">
        <v>1</v>
      </c>
      <c r="J10" s="112">
        <f>I10/I11</f>
        <v>0.5</v>
      </c>
      <c r="K10" s="36">
        <v>2</v>
      </c>
      <c r="L10" s="118">
        <f>K10/K11</f>
        <v>1</v>
      </c>
      <c r="M10" s="36">
        <v>2</v>
      </c>
      <c r="N10" s="197">
        <f>M10/M11</f>
        <v>1</v>
      </c>
      <c r="O10" s="118">
        <f>J10</f>
        <v>0.5</v>
      </c>
      <c r="P10" s="118">
        <f>L10</f>
        <v>1</v>
      </c>
      <c r="Q10" s="197">
        <f>N10</f>
        <v>1</v>
      </c>
      <c r="R10" s="112" t="s">
        <v>286</v>
      </c>
      <c r="S10" s="173">
        <v>45170</v>
      </c>
      <c r="T10" s="173">
        <v>45291</v>
      </c>
      <c r="U10" s="140" t="s">
        <v>287</v>
      </c>
      <c r="V10" s="140" t="s">
        <v>335</v>
      </c>
      <c r="W10" s="118">
        <f>Q10</f>
        <v>1</v>
      </c>
      <c r="X10" s="118">
        <f>W10</f>
        <v>1</v>
      </c>
      <c r="Y10" s="174" t="s">
        <v>334</v>
      </c>
    </row>
    <row r="11" spans="1:25" s="2" customFormat="1" ht="32.450000000000003" customHeight="1" thickBot="1">
      <c r="A11" s="321"/>
      <c r="B11" s="141"/>
      <c r="C11" s="366"/>
      <c r="D11" s="366"/>
      <c r="E11" s="388"/>
      <c r="F11" s="366"/>
      <c r="G11" s="180">
        <v>65</v>
      </c>
      <c r="H11" s="180"/>
      <c r="I11" s="65">
        <v>2</v>
      </c>
      <c r="J11" s="184"/>
      <c r="K11" s="65">
        <v>2</v>
      </c>
      <c r="L11" s="205"/>
      <c r="M11" s="65">
        <v>2</v>
      </c>
      <c r="N11" s="198"/>
      <c r="O11" s="205"/>
      <c r="P11" s="205"/>
      <c r="Q11" s="180"/>
      <c r="R11" s="184"/>
      <c r="S11" s="205"/>
      <c r="T11" s="205"/>
      <c r="U11" s="141"/>
      <c r="V11" s="141"/>
      <c r="W11" s="119"/>
      <c r="X11" s="205"/>
      <c r="Y11" s="191"/>
    </row>
    <row r="12" spans="1:25" s="2" customFormat="1" ht="22.5" customHeight="1">
      <c r="A12" s="319" t="s">
        <v>86</v>
      </c>
      <c r="B12" s="367" t="s">
        <v>87</v>
      </c>
      <c r="C12" s="369" t="s">
        <v>88</v>
      </c>
      <c r="D12" s="377" t="s">
        <v>0</v>
      </c>
      <c r="E12" s="367" t="s">
        <v>89</v>
      </c>
      <c r="F12" s="369" t="s">
        <v>90</v>
      </c>
      <c r="G12" s="371">
        <v>3</v>
      </c>
      <c r="H12" s="379">
        <v>6</v>
      </c>
      <c r="I12" s="379">
        <v>0</v>
      </c>
      <c r="J12" s="219">
        <v>0</v>
      </c>
      <c r="K12" s="397">
        <v>1</v>
      </c>
      <c r="L12" s="219">
        <f>K12/H12</f>
        <v>0.16666666666666666</v>
      </c>
      <c r="M12" s="379">
        <v>5</v>
      </c>
      <c r="N12" s="192">
        <f>M12/H12</f>
        <v>0.83333333333333337</v>
      </c>
      <c r="O12" s="192">
        <f>J12</f>
        <v>0</v>
      </c>
      <c r="P12" s="219">
        <f>L12</f>
        <v>0.16666666666666666</v>
      </c>
      <c r="Q12" s="192">
        <f>N12</f>
        <v>0.83333333333333337</v>
      </c>
      <c r="R12" s="170" t="s">
        <v>320</v>
      </c>
      <c r="S12" s="171">
        <v>45170</v>
      </c>
      <c r="T12" s="171">
        <v>45291</v>
      </c>
      <c r="U12" s="170" t="s">
        <v>324</v>
      </c>
      <c r="V12" s="170" t="s">
        <v>321</v>
      </c>
      <c r="W12" s="192">
        <f>O12+P12+Q12</f>
        <v>1</v>
      </c>
      <c r="X12" s="192">
        <f>W12</f>
        <v>1</v>
      </c>
      <c r="Y12" s="290" t="s">
        <v>312</v>
      </c>
    </row>
    <row r="13" spans="1:25" s="2" customFormat="1" ht="35.25" customHeight="1">
      <c r="A13" s="320"/>
      <c r="B13" s="363"/>
      <c r="C13" s="370"/>
      <c r="D13" s="341"/>
      <c r="E13" s="363"/>
      <c r="F13" s="370"/>
      <c r="G13" s="364"/>
      <c r="H13" s="353"/>
      <c r="I13" s="353"/>
      <c r="J13" s="153"/>
      <c r="K13" s="156"/>
      <c r="L13" s="153"/>
      <c r="M13" s="353"/>
      <c r="N13" s="172"/>
      <c r="O13" s="172"/>
      <c r="P13" s="153"/>
      <c r="Q13" s="172"/>
      <c r="R13" s="140"/>
      <c r="S13" s="172"/>
      <c r="T13" s="172"/>
      <c r="U13" s="140"/>
      <c r="V13" s="140"/>
      <c r="W13" s="172"/>
      <c r="X13" s="172"/>
      <c r="Y13" s="225"/>
    </row>
    <row r="14" spans="1:25" s="2" customFormat="1">
      <c r="A14" s="320"/>
      <c r="B14" s="363"/>
      <c r="C14" s="370" t="s">
        <v>91</v>
      </c>
      <c r="D14" s="341" t="s">
        <v>0</v>
      </c>
      <c r="E14" s="363" t="s">
        <v>92</v>
      </c>
      <c r="F14" s="370" t="s">
        <v>93</v>
      </c>
      <c r="G14" s="166">
        <v>18</v>
      </c>
      <c r="H14" s="353">
        <v>18</v>
      </c>
      <c r="I14" s="353">
        <v>9</v>
      </c>
      <c r="J14" s="153">
        <v>0.5</v>
      </c>
      <c r="K14" s="156">
        <v>0</v>
      </c>
      <c r="L14" s="153">
        <f>K14/H14</f>
        <v>0</v>
      </c>
      <c r="M14" s="353">
        <v>9</v>
      </c>
      <c r="N14" s="118">
        <f>M14/H14</f>
        <v>0.5</v>
      </c>
      <c r="O14" s="153">
        <f>J14</f>
        <v>0.5</v>
      </c>
      <c r="P14" s="153">
        <f>L14</f>
        <v>0</v>
      </c>
      <c r="Q14" s="118">
        <f>N14</f>
        <v>0.5</v>
      </c>
      <c r="R14" s="140" t="s">
        <v>318</v>
      </c>
      <c r="S14" s="173">
        <v>45170</v>
      </c>
      <c r="T14" s="173">
        <v>45291</v>
      </c>
      <c r="U14" s="140" t="s">
        <v>325</v>
      </c>
      <c r="V14" s="140" t="s">
        <v>322</v>
      </c>
      <c r="W14" s="118">
        <f t="shared" ref="W14" si="0">O14+P14+Q14</f>
        <v>1</v>
      </c>
      <c r="X14" s="118">
        <f>W14</f>
        <v>1</v>
      </c>
      <c r="Y14" s="225" t="s">
        <v>313</v>
      </c>
    </row>
    <row r="15" spans="1:25" s="2" customFormat="1" ht="35.25" customHeight="1">
      <c r="A15" s="320"/>
      <c r="B15" s="363"/>
      <c r="C15" s="370"/>
      <c r="D15" s="341"/>
      <c r="E15" s="363"/>
      <c r="F15" s="370"/>
      <c r="G15" s="166"/>
      <c r="H15" s="353"/>
      <c r="I15" s="353"/>
      <c r="J15" s="153"/>
      <c r="K15" s="156"/>
      <c r="L15" s="153"/>
      <c r="M15" s="353"/>
      <c r="N15" s="172"/>
      <c r="O15" s="153"/>
      <c r="P15" s="153"/>
      <c r="Q15" s="172"/>
      <c r="R15" s="140"/>
      <c r="S15" s="172"/>
      <c r="T15" s="172"/>
      <c r="U15" s="140"/>
      <c r="V15" s="140"/>
      <c r="W15" s="172"/>
      <c r="X15" s="172"/>
      <c r="Y15" s="225"/>
    </row>
    <row r="16" spans="1:25" s="2" customFormat="1" ht="19.5" customHeight="1">
      <c r="A16" s="320"/>
      <c r="B16" s="363"/>
      <c r="C16" s="361" t="s">
        <v>94</v>
      </c>
      <c r="D16" s="166" t="s">
        <v>0</v>
      </c>
      <c r="E16" s="375" t="s">
        <v>95</v>
      </c>
      <c r="F16" s="361" t="s">
        <v>247</v>
      </c>
      <c r="G16" s="166">
        <v>2</v>
      </c>
      <c r="H16" s="351">
        <v>2</v>
      </c>
      <c r="I16" s="351">
        <v>1</v>
      </c>
      <c r="J16" s="153">
        <v>0.5</v>
      </c>
      <c r="K16" s="156">
        <v>0</v>
      </c>
      <c r="L16" s="153">
        <f>K16/H16</f>
        <v>0</v>
      </c>
      <c r="M16" s="351">
        <v>1</v>
      </c>
      <c r="N16" s="118">
        <f>M16/H16</f>
        <v>0.5</v>
      </c>
      <c r="O16" s="153">
        <f>J16</f>
        <v>0.5</v>
      </c>
      <c r="P16" s="153">
        <f>L16</f>
        <v>0</v>
      </c>
      <c r="Q16" s="118">
        <f>N16</f>
        <v>0.5</v>
      </c>
      <c r="R16" s="203" t="s">
        <v>319</v>
      </c>
      <c r="S16" s="173">
        <v>45170</v>
      </c>
      <c r="T16" s="173">
        <v>45291</v>
      </c>
      <c r="U16" s="203" t="s">
        <v>326</v>
      </c>
      <c r="V16" s="140" t="s">
        <v>323</v>
      </c>
      <c r="W16" s="118">
        <f t="shared" ref="W16" si="1">O16+P16+Q16</f>
        <v>1</v>
      </c>
      <c r="X16" s="118">
        <f>W16</f>
        <v>1</v>
      </c>
      <c r="Y16" s="225" t="s">
        <v>313</v>
      </c>
    </row>
    <row r="17" spans="1:25" s="2" customFormat="1" ht="23.25" customHeight="1" thickBot="1">
      <c r="A17" s="321"/>
      <c r="B17" s="368"/>
      <c r="C17" s="362"/>
      <c r="D17" s="180"/>
      <c r="E17" s="376"/>
      <c r="F17" s="362"/>
      <c r="G17" s="180"/>
      <c r="H17" s="352"/>
      <c r="I17" s="352"/>
      <c r="J17" s="175"/>
      <c r="K17" s="294"/>
      <c r="L17" s="175"/>
      <c r="M17" s="352"/>
      <c r="N17" s="205"/>
      <c r="O17" s="175"/>
      <c r="P17" s="175"/>
      <c r="Q17" s="205"/>
      <c r="R17" s="204"/>
      <c r="S17" s="205"/>
      <c r="T17" s="205"/>
      <c r="U17" s="286"/>
      <c r="V17" s="141"/>
      <c r="W17" s="205"/>
      <c r="X17" s="205"/>
      <c r="Y17" s="226"/>
    </row>
    <row r="18" spans="1:25" s="2" customFormat="1" ht="116.25" customHeight="1">
      <c r="A18" s="389" t="s">
        <v>80</v>
      </c>
      <c r="B18" s="354" t="s">
        <v>81</v>
      </c>
      <c r="C18" s="354" t="s">
        <v>82</v>
      </c>
      <c r="D18" s="377" t="s">
        <v>0</v>
      </c>
      <c r="E18" s="373" t="s">
        <v>83</v>
      </c>
      <c r="F18" s="62" t="s">
        <v>84</v>
      </c>
      <c r="G18" s="342">
        <v>0.75</v>
      </c>
      <c r="H18" s="219">
        <v>1</v>
      </c>
      <c r="I18" s="69">
        <v>3</v>
      </c>
      <c r="J18" s="148">
        <f>I18/I19</f>
        <v>0.15789473684210525</v>
      </c>
      <c r="K18" s="70">
        <v>5</v>
      </c>
      <c r="L18" s="295">
        <f>K18/K19</f>
        <v>0.26315789473684209</v>
      </c>
      <c r="M18" s="61">
        <v>5</v>
      </c>
      <c r="N18" s="295">
        <f>M18/M19</f>
        <v>0.26315789473684209</v>
      </c>
      <c r="O18" s="199">
        <f>J18</f>
        <v>0.15789473684210525</v>
      </c>
      <c r="P18" s="199">
        <f>L18</f>
        <v>0.26315789473684209</v>
      </c>
      <c r="Q18" s="199">
        <f>N18</f>
        <v>0.26315789473684209</v>
      </c>
      <c r="R18" s="170" t="s">
        <v>352</v>
      </c>
      <c r="S18" s="171">
        <v>45170</v>
      </c>
      <c r="T18" s="171">
        <v>45291</v>
      </c>
      <c r="U18" s="170" t="s">
        <v>336</v>
      </c>
      <c r="V18" s="288" t="s">
        <v>337</v>
      </c>
      <c r="W18" s="199">
        <f>O18+P18+Q18</f>
        <v>0.68421052631578938</v>
      </c>
      <c r="X18" s="192">
        <v>0.68400000000000005</v>
      </c>
      <c r="Y18" s="185" t="s">
        <v>279</v>
      </c>
    </row>
    <row r="19" spans="1:25" s="2" customFormat="1" ht="117" customHeight="1" thickBot="1">
      <c r="A19" s="390"/>
      <c r="B19" s="131"/>
      <c r="C19" s="131"/>
      <c r="D19" s="378"/>
      <c r="E19" s="374"/>
      <c r="F19" s="54" t="s">
        <v>85</v>
      </c>
      <c r="G19" s="141"/>
      <c r="H19" s="175"/>
      <c r="I19" s="71">
        <v>19</v>
      </c>
      <c r="J19" s="145"/>
      <c r="K19" s="72">
        <v>19</v>
      </c>
      <c r="L19" s="296"/>
      <c r="M19" s="68">
        <v>19</v>
      </c>
      <c r="N19" s="296"/>
      <c r="O19" s="200"/>
      <c r="P19" s="200"/>
      <c r="Q19" s="200"/>
      <c r="R19" s="141"/>
      <c r="S19" s="205"/>
      <c r="T19" s="205"/>
      <c r="U19" s="205"/>
      <c r="V19" s="289"/>
      <c r="W19" s="205"/>
      <c r="X19" s="119"/>
      <c r="Y19" s="191"/>
    </row>
    <row r="20" spans="1:25" s="2" customFormat="1" ht="35.25" customHeight="1">
      <c r="A20" s="319" t="s">
        <v>96</v>
      </c>
      <c r="B20" s="332" t="s">
        <v>97</v>
      </c>
      <c r="C20" s="170" t="s">
        <v>98</v>
      </c>
      <c r="D20" s="329" t="s">
        <v>0</v>
      </c>
      <c r="E20" s="337" t="s">
        <v>99</v>
      </c>
      <c r="F20" s="64" t="s">
        <v>100</v>
      </c>
      <c r="G20" s="342">
        <v>1</v>
      </c>
      <c r="H20" s="219">
        <v>1</v>
      </c>
      <c r="I20" s="63">
        <v>0</v>
      </c>
      <c r="J20" s="219">
        <v>0</v>
      </c>
      <c r="K20" s="63">
        <v>0</v>
      </c>
      <c r="L20" s="292">
        <v>0</v>
      </c>
      <c r="M20" s="63">
        <v>5</v>
      </c>
      <c r="N20" s="208">
        <f>M20/M21</f>
        <v>1</v>
      </c>
      <c r="O20" s="192">
        <f>J20</f>
        <v>0</v>
      </c>
      <c r="P20" s="192">
        <f>L20</f>
        <v>0</v>
      </c>
      <c r="Q20" s="192">
        <f>N20</f>
        <v>1</v>
      </c>
      <c r="R20" s="130" t="s">
        <v>338</v>
      </c>
      <c r="S20" s="188">
        <v>45170</v>
      </c>
      <c r="T20" s="167">
        <v>45291</v>
      </c>
      <c r="U20" s="130" t="s">
        <v>339</v>
      </c>
      <c r="V20" s="287" t="s">
        <v>340</v>
      </c>
      <c r="W20" s="130">
        <f>O20+P20+Q20</f>
        <v>1</v>
      </c>
      <c r="X20" s="192">
        <f>Q20</f>
        <v>1</v>
      </c>
      <c r="Y20" s="224" t="s">
        <v>282</v>
      </c>
    </row>
    <row r="21" spans="1:25" s="2" customFormat="1" ht="32.25" customHeight="1">
      <c r="A21" s="320"/>
      <c r="B21" s="325"/>
      <c r="C21" s="140"/>
      <c r="D21" s="316"/>
      <c r="E21" s="331"/>
      <c r="F21" s="29" t="s">
        <v>101</v>
      </c>
      <c r="G21" s="268">
        <v>65</v>
      </c>
      <c r="H21" s="153"/>
      <c r="I21" s="36">
        <v>0</v>
      </c>
      <c r="J21" s="153"/>
      <c r="K21" s="36">
        <v>0</v>
      </c>
      <c r="L21" s="293"/>
      <c r="M21" s="36">
        <v>5</v>
      </c>
      <c r="N21" s="209"/>
      <c r="O21" s="118"/>
      <c r="P21" s="172"/>
      <c r="Q21" s="172"/>
      <c r="R21" s="112"/>
      <c r="S21" s="169"/>
      <c r="T21" s="162"/>
      <c r="U21" s="112"/>
      <c r="V21" s="140"/>
      <c r="W21" s="112"/>
      <c r="X21" s="118"/>
      <c r="Y21" s="223"/>
    </row>
    <row r="22" spans="1:25" s="2" customFormat="1" ht="31.5" customHeight="1">
      <c r="A22" s="320"/>
      <c r="B22" s="325"/>
      <c r="C22" s="140" t="s">
        <v>245</v>
      </c>
      <c r="D22" s="343" t="s">
        <v>0</v>
      </c>
      <c r="E22" s="344" t="s">
        <v>238</v>
      </c>
      <c r="F22" s="29" t="s">
        <v>239</v>
      </c>
      <c r="G22" s="118">
        <v>1</v>
      </c>
      <c r="H22" s="112">
        <v>1</v>
      </c>
      <c r="I22" s="36">
        <v>1</v>
      </c>
      <c r="J22" s="162">
        <f>I22/I23</f>
        <v>0.33333333333333331</v>
      </c>
      <c r="K22" s="17">
        <v>1</v>
      </c>
      <c r="L22" s="162">
        <f>K22/K23</f>
        <v>0.33333333333333331</v>
      </c>
      <c r="M22" s="17">
        <v>1</v>
      </c>
      <c r="N22" s="162">
        <f>M22/M23</f>
        <v>0.33333333333333331</v>
      </c>
      <c r="O22" s="118">
        <f>J22</f>
        <v>0.33333333333333331</v>
      </c>
      <c r="P22" s="118">
        <f>L22</f>
        <v>0.33333333333333331</v>
      </c>
      <c r="Q22" s="118">
        <f>N22</f>
        <v>0.33333333333333331</v>
      </c>
      <c r="R22" s="112" t="s">
        <v>341</v>
      </c>
      <c r="S22" s="168">
        <v>45170</v>
      </c>
      <c r="T22" s="183">
        <v>45291</v>
      </c>
      <c r="U22" s="112" t="s">
        <v>276</v>
      </c>
      <c r="V22" s="140" t="s">
        <v>342</v>
      </c>
      <c r="W22" s="112">
        <f>O22+P22+Q22</f>
        <v>1</v>
      </c>
      <c r="X22" s="118">
        <v>1</v>
      </c>
      <c r="Y22" s="221" t="s">
        <v>277</v>
      </c>
    </row>
    <row r="23" spans="1:25" s="2" customFormat="1" ht="39" customHeight="1">
      <c r="A23" s="320"/>
      <c r="B23" s="325"/>
      <c r="C23" s="140"/>
      <c r="D23" s="343"/>
      <c r="E23" s="344"/>
      <c r="F23" s="29" t="s">
        <v>240</v>
      </c>
      <c r="G23" s="118"/>
      <c r="H23" s="112"/>
      <c r="I23" s="36">
        <v>3</v>
      </c>
      <c r="J23" s="162"/>
      <c r="K23" s="17">
        <v>3</v>
      </c>
      <c r="L23" s="162"/>
      <c r="M23" s="17">
        <v>3</v>
      </c>
      <c r="N23" s="162"/>
      <c r="O23" s="172"/>
      <c r="P23" s="172"/>
      <c r="Q23" s="172"/>
      <c r="R23" s="112"/>
      <c r="S23" s="168"/>
      <c r="T23" s="162"/>
      <c r="U23" s="112"/>
      <c r="V23" s="140"/>
      <c r="W23" s="112"/>
      <c r="X23" s="118"/>
      <c r="Y23" s="221"/>
    </row>
    <row r="24" spans="1:25" s="2" customFormat="1" ht="20.25" customHeight="1">
      <c r="A24" s="320"/>
      <c r="B24" s="325"/>
      <c r="C24" s="140" t="s">
        <v>102</v>
      </c>
      <c r="D24" s="316" t="s">
        <v>0</v>
      </c>
      <c r="E24" s="325" t="s">
        <v>103</v>
      </c>
      <c r="F24" s="29" t="s">
        <v>104</v>
      </c>
      <c r="G24" s="268">
        <v>1</v>
      </c>
      <c r="H24" s="153">
        <v>1</v>
      </c>
      <c r="I24" s="36">
        <v>1</v>
      </c>
      <c r="J24" s="162">
        <f>I24/I25</f>
        <v>0.14285714285714285</v>
      </c>
      <c r="K24" s="24">
        <v>4</v>
      </c>
      <c r="L24" s="169">
        <f>K24/K25</f>
        <v>0.5714285714285714</v>
      </c>
      <c r="M24" s="24">
        <v>7</v>
      </c>
      <c r="N24" s="162">
        <f>M24/M25</f>
        <v>1</v>
      </c>
      <c r="O24" s="118">
        <f>J24</f>
        <v>0.14285714285714285</v>
      </c>
      <c r="P24" s="118">
        <f>(L24-J24)</f>
        <v>0.42857142857142855</v>
      </c>
      <c r="Q24" s="118">
        <f>(N24-O24-P24)</f>
        <v>0.42857142857142866</v>
      </c>
      <c r="R24" s="112" t="s">
        <v>343</v>
      </c>
      <c r="S24" s="183">
        <v>45170</v>
      </c>
      <c r="T24" s="183">
        <v>45291</v>
      </c>
      <c r="U24" s="112" t="s">
        <v>344</v>
      </c>
      <c r="V24" s="112" t="s">
        <v>345</v>
      </c>
      <c r="W24" s="112">
        <f>O24+P24+Q24</f>
        <v>1</v>
      </c>
      <c r="X24" s="118">
        <v>1</v>
      </c>
      <c r="Y24" s="221" t="s">
        <v>278</v>
      </c>
    </row>
    <row r="25" spans="1:25" s="2" customFormat="1" ht="38.25" customHeight="1">
      <c r="A25" s="320"/>
      <c r="B25" s="325"/>
      <c r="C25" s="140"/>
      <c r="D25" s="316"/>
      <c r="E25" s="325"/>
      <c r="F25" s="29" t="s">
        <v>105</v>
      </c>
      <c r="G25" s="268"/>
      <c r="H25" s="153"/>
      <c r="I25" s="36">
        <v>7</v>
      </c>
      <c r="J25" s="162"/>
      <c r="K25" s="24">
        <v>7</v>
      </c>
      <c r="L25" s="169"/>
      <c r="M25" s="24">
        <v>7</v>
      </c>
      <c r="N25" s="162"/>
      <c r="O25" s="118"/>
      <c r="P25" s="172"/>
      <c r="Q25" s="172"/>
      <c r="R25" s="112"/>
      <c r="S25" s="162"/>
      <c r="T25" s="162"/>
      <c r="U25" s="112"/>
      <c r="V25" s="112"/>
      <c r="W25" s="112"/>
      <c r="X25" s="118"/>
      <c r="Y25" s="223"/>
    </row>
    <row r="26" spans="1:25" s="2" customFormat="1" ht="22.5" customHeight="1">
      <c r="A26" s="320"/>
      <c r="B26" s="325"/>
      <c r="C26" s="166" t="s">
        <v>271</v>
      </c>
      <c r="D26" s="316" t="s">
        <v>0</v>
      </c>
      <c r="E26" s="328" t="s">
        <v>106</v>
      </c>
      <c r="F26" s="29" t="s">
        <v>107</v>
      </c>
      <c r="G26" s="268">
        <v>1</v>
      </c>
      <c r="H26" s="112">
        <v>1</v>
      </c>
      <c r="I26" s="36">
        <v>0</v>
      </c>
      <c r="J26" s="162">
        <v>0</v>
      </c>
      <c r="K26" s="36">
        <v>10</v>
      </c>
      <c r="L26" s="155">
        <v>0.33</v>
      </c>
      <c r="M26" s="36">
        <v>10</v>
      </c>
      <c r="N26" s="118">
        <f>M26/M27</f>
        <v>1</v>
      </c>
      <c r="O26" s="118">
        <f>J26</f>
        <v>0</v>
      </c>
      <c r="P26" s="118" t="s">
        <v>280</v>
      </c>
      <c r="Q26" s="118">
        <f>N26</f>
        <v>1</v>
      </c>
      <c r="R26" s="112" t="s">
        <v>347</v>
      </c>
      <c r="S26" s="183">
        <v>45170</v>
      </c>
      <c r="T26" s="183">
        <v>45291</v>
      </c>
      <c r="U26" s="112" t="s">
        <v>348</v>
      </c>
      <c r="V26" s="112" t="s">
        <v>346</v>
      </c>
      <c r="W26" s="112">
        <f>Q26</f>
        <v>1</v>
      </c>
      <c r="X26" s="118">
        <v>1</v>
      </c>
      <c r="Y26" s="221" t="s">
        <v>283</v>
      </c>
    </row>
    <row r="27" spans="1:25" s="2" customFormat="1" ht="28.5" customHeight="1" thickBot="1">
      <c r="A27" s="321"/>
      <c r="B27" s="326"/>
      <c r="C27" s="180"/>
      <c r="D27" s="317"/>
      <c r="E27" s="289"/>
      <c r="F27" s="48" t="s">
        <v>108</v>
      </c>
      <c r="G27" s="372"/>
      <c r="H27" s="184"/>
      <c r="I27" s="65">
        <v>0</v>
      </c>
      <c r="J27" s="215"/>
      <c r="K27" s="65">
        <v>10</v>
      </c>
      <c r="L27" s="294"/>
      <c r="M27" s="65">
        <v>10</v>
      </c>
      <c r="N27" s="205"/>
      <c r="O27" s="205"/>
      <c r="P27" s="205"/>
      <c r="Q27" s="205"/>
      <c r="R27" s="184"/>
      <c r="S27" s="215"/>
      <c r="T27" s="215"/>
      <c r="U27" s="184"/>
      <c r="V27" s="184"/>
      <c r="W27" s="184"/>
      <c r="X27" s="119"/>
      <c r="Y27" s="222"/>
    </row>
    <row r="28" spans="1:25" ht="15.75" customHeight="1">
      <c r="A28" s="319" t="s">
        <v>71</v>
      </c>
      <c r="B28" s="170" t="s">
        <v>21</v>
      </c>
      <c r="C28" s="170" t="s">
        <v>14</v>
      </c>
      <c r="D28" s="329" t="s">
        <v>22</v>
      </c>
      <c r="E28" s="337" t="s">
        <v>62</v>
      </c>
      <c r="F28" s="64" t="s">
        <v>31</v>
      </c>
      <c r="G28" s="342">
        <v>0.9</v>
      </c>
      <c r="H28" s="130">
        <v>0.9</v>
      </c>
      <c r="I28" s="74">
        <v>24</v>
      </c>
      <c r="J28" s="208">
        <f>I28/I29</f>
        <v>0.3380281690140845</v>
      </c>
      <c r="K28" s="74">
        <v>48</v>
      </c>
      <c r="L28" s="208">
        <f>K28/K29</f>
        <v>0.676056338028169</v>
      </c>
      <c r="M28" s="74">
        <v>71</v>
      </c>
      <c r="N28" s="208">
        <f>M28/M29</f>
        <v>1</v>
      </c>
      <c r="O28" s="280">
        <v>0.93379999999999996</v>
      </c>
      <c r="P28" s="280">
        <v>0.96760000000000002</v>
      </c>
      <c r="Q28" s="280">
        <v>1</v>
      </c>
      <c r="R28" s="281" t="s">
        <v>288</v>
      </c>
      <c r="S28" s="167">
        <v>45170</v>
      </c>
      <c r="T28" s="167">
        <v>45291</v>
      </c>
      <c r="U28" s="281" t="s">
        <v>289</v>
      </c>
      <c r="V28" s="282" t="s">
        <v>290</v>
      </c>
      <c r="W28" s="281">
        <f>Q28</f>
        <v>1</v>
      </c>
      <c r="X28" s="278">
        <f>(100*W28)/100</f>
        <v>1</v>
      </c>
      <c r="Y28" s="279" t="s">
        <v>366</v>
      </c>
    </row>
    <row r="29" spans="1:25" ht="33.75" customHeight="1">
      <c r="A29" s="320"/>
      <c r="B29" s="140"/>
      <c r="C29" s="140"/>
      <c r="D29" s="316"/>
      <c r="E29" s="331"/>
      <c r="F29" s="29" t="s">
        <v>32</v>
      </c>
      <c r="G29" s="268"/>
      <c r="H29" s="112"/>
      <c r="I29" s="28">
        <v>71</v>
      </c>
      <c r="J29" s="209"/>
      <c r="K29" s="28">
        <v>71</v>
      </c>
      <c r="L29" s="209"/>
      <c r="M29" s="28">
        <v>71</v>
      </c>
      <c r="N29" s="209"/>
      <c r="O29" s="159"/>
      <c r="P29" s="159"/>
      <c r="Q29" s="159"/>
      <c r="R29" s="229"/>
      <c r="S29" s="162"/>
      <c r="T29" s="162"/>
      <c r="U29" s="229"/>
      <c r="V29" s="227"/>
      <c r="W29" s="229"/>
      <c r="X29" s="181"/>
      <c r="Y29" s="277"/>
    </row>
    <row r="30" spans="1:25" ht="21" customHeight="1">
      <c r="A30" s="320"/>
      <c r="B30" s="140"/>
      <c r="C30" s="140" t="s">
        <v>15</v>
      </c>
      <c r="D30" s="316" t="s">
        <v>22</v>
      </c>
      <c r="E30" s="331" t="s">
        <v>63</v>
      </c>
      <c r="F30" s="29" t="s">
        <v>64</v>
      </c>
      <c r="G30" s="268">
        <v>0.8</v>
      </c>
      <c r="H30" s="118">
        <v>0.8</v>
      </c>
      <c r="I30" s="28">
        <v>8</v>
      </c>
      <c r="J30" s="136">
        <f>I30/I31</f>
        <v>0.53333333333333333</v>
      </c>
      <c r="K30" s="28">
        <v>12</v>
      </c>
      <c r="L30" s="136">
        <f>K30/K31</f>
        <v>0.8</v>
      </c>
      <c r="M30" s="28">
        <v>15</v>
      </c>
      <c r="N30" s="136">
        <f>M30/M31</f>
        <v>1</v>
      </c>
      <c r="O30" s="159">
        <v>0.90669999999999995</v>
      </c>
      <c r="P30" s="159">
        <v>0.96</v>
      </c>
      <c r="Q30" s="159">
        <v>1</v>
      </c>
      <c r="R30" s="229" t="s">
        <v>365</v>
      </c>
      <c r="S30" s="183">
        <v>45170</v>
      </c>
      <c r="T30" s="183">
        <v>45291</v>
      </c>
      <c r="U30" s="229" t="s">
        <v>291</v>
      </c>
      <c r="V30" s="227" t="s">
        <v>292</v>
      </c>
      <c r="W30" s="229">
        <f>Q30</f>
        <v>1</v>
      </c>
      <c r="X30" s="181">
        <f t="shared" ref="X30:X36" si="2">(100*W30)/100</f>
        <v>1</v>
      </c>
      <c r="Y30" s="277" t="s">
        <v>293</v>
      </c>
    </row>
    <row r="31" spans="1:25" ht="36" customHeight="1">
      <c r="A31" s="320"/>
      <c r="B31" s="140"/>
      <c r="C31" s="140"/>
      <c r="D31" s="316"/>
      <c r="E31" s="331"/>
      <c r="F31" s="29" t="s">
        <v>65</v>
      </c>
      <c r="G31" s="140"/>
      <c r="H31" s="118"/>
      <c r="I31" s="28">
        <v>15</v>
      </c>
      <c r="J31" s="136"/>
      <c r="K31" s="28">
        <v>15</v>
      </c>
      <c r="L31" s="136"/>
      <c r="M31" s="28">
        <v>15</v>
      </c>
      <c r="N31" s="136"/>
      <c r="O31" s="159"/>
      <c r="P31" s="159"/>
      <c r="Q31" s="159"/>
      <c r="R31" s="229"/>
      <c r="S31" s="162"/>
      <c r="T31" s="162"/>
      <c r="U31" s="229"/>
      <c r="V31" s="227"/>
      <c r="W31" s="229"/>
      <c r="X31" s="181"/>
      <c r="Y31" s="277"/>
    </row>
    <row r="32" spans="1:25" ht="21" customHeight="1">
      <c r="A32" s="320"/>
      <c r="B32" s="140"/>
      <c r="C32" s="140" t="s">
        <v>16</v>
      </c>
      <c r="D32" s="316" t="s">
        <v>22</v>
      </c>
      <c r="E32" s="331" t="s">
        <v>66</v>
      </c>
      <c r="F32" s="29" t="s">
        <v>35</v>
      </c>
      <c r="G32" s="268">
        <v>1</v>
      </c>
      <c r="H32" s="118">
        <v>1</v>
      </c>
      <c r="I32" s="28">
        <v>78</v>
      </c>
      <c r="J32" s="136">
        <f>(I32/I33)</f>
        <v>1</v>
      </c>
      <c r="K32" s="28">
        <v>78</v>
      </c>
      <c r="L32" s="136">
        <f>K32/K33</f>
        <v>1</v>
      </c>
      <c r="M32" s="28">
        <v>78</v>
      </c>
      <c r="N32" s="136">
        <f>M32/M33</f>
        <v>1</v>
      </c>
      <c r="O32" s="159">
        <f>J32</f>
        <v>1</v>
      </c>
      <c r="P32" s="159">
        <v>1</v>
      </c>
      <c r="Q32" s="159">
        <v>1</v>
      </c>
      <c r="R32" s="229" t="s">
        <v>294</v>
      </c>
      <c r="S32" s="183">
        <v>45170</v>
      </c>
      <c r="T32" s="183">
        <v>45291</v>
      </c>
      <c r="U32" s="283" t="s">
        <v>295</v>
      </c>
      <c r="V32" s="232" t="s">
        <v>296</v>
      </c>
      <c r="W32" s="229">
        <f>Q32</f>
        <v>1</v>
      </c>
      <c r="X32" s="181">
        <f t="shared" si="2"/>
        <v>1</v>
      </c>
      <c r="Y32" s="277" t="s">
        <v>297</v>
      </c>
    </row>
    <row r="33" spans="1:25" ht="22.5" customHeight="1">
      <c r="A33" s="320"/>
      <c r="B33" s="140"/>
      <c r="C33" s="140"/>
      <c r="D33" s="316"/>
      <c r="E33" s="331"/>
      <c r="F33" s="29" t="s">
        <v>36</v>
      </c>
      <c r="G33" s="140">
        <v>16</v>
      </c>
      <c r="H33" s="118"/>
      <c r="I33" s="28">
        <v>78</v>
      </c>
      <c r="J33" s="136"/>
      <c r="K33" s="28">
        <v>78</v>
      </c>
      <c r="L33" s="136"/>
      <c r="M33" s="28">
        <v>78</v>
      </c>
      <c r="N33" s="136"/>
      <c r="O33" s="159"/>
      <c r="P33" s="159"/>
      <c r="Q33" s="159"/>
      <c r="R33" s="229"/>
      <c r="S33" s="162"/>
      <c r="T33" s="162"/>
      <c r="U33" s="284"/>
      <c r="V33" s="232"/>
      <c r="W33" s="229"/>
      <c r="X33" s="181"/>
      <c r="Y33" s="277"/>
    </row>
    <row r="34" spans="1:25" ht="12.75" customHeight="1">
      <c r="A34" s="320"/>
      <c r="B34" s="140"/>
      <c r="C34" s="140" t="s">
        <v>17</v>
      </c>
      <c r="D34" s="316" t="s">
        <v>0</v>
      </c>
      <c r="E34" s="316" t="s">
        <v>37</v>
      </c>
      <c r="F34" s="140" t="s">
        <v>38</v>
      </c>
      <c r="G34" s="268">
        <v>1</v>
      </c>
      <c r="H34" s="153">
        <v>1</v>
      </c>
      <c r="I34" s="28">
        <v>32</v>
      </c>
      <c r="J34" s="136">
        <f>I34/I35</f>
        <v>0.36363636363636365</v>
      </c>
      <c r="K34" s="28">
        <v>64</v>
      </c>
      <c r="L34" s="136">
        <f>K34/K35</f>
        <v>0.72727272727272729</v>
      </c>
      <c r="M34" s="28">
        <v>88</v>
      </c>
      <c r="N34" s="136">
        <f>M34/M35</f>
        <v>1</v>
      </c>
      <c r="O34" s="159">
        <v>0.36359999999999998</v>
      </c>
      <c r="P34" s="159">
        <v>0.72729999999999995</v>
      </c>
      <c r="Q34" s="159">
        <v>1</v>
      </c>
      <c r="R34" s="245" t="s">
        <v>298</v>
      </c>
      <c r="S34" s="183">
        <v>45170</v>
      </c>
      <c r="T34" s="183">
        <v>45291</v>
      </c>
      <c r="U34" s="229" t="s">
        <v>299</v>
      </c>
      <c r="V34" s="227" t="s">
        <v>300</v>
      </c>
      <c r="W34" s="229">
        <f>Q34</f>
        <v>1</v>
      </c>
      <c r="X34" s="181">
        <f t="shared" si="2"/>
        <v>1</v>
      </c>
      <c r="Y34" s="277" t="s">
        <v>301</v>
      </c>
    </row>
    <row r="35" spans="1:25" ht="39" customHeight="1">
      <c r="A35" s="320"/>
      <c r="B35" s="140"/>
      <c r="C35" s="140"/>
      <c r="D35" s="316"/>
      <c r="E35" s="316"/>
      <c r="F35" s="140"/>
      <c r="G35" s="268"/>
      <c r="H35" s="153"/>
      <c r="I35" s="28">
        <v>88</v>
      </c>
      <c r="J35" s="136"/>
      <c r="K35" s="28">
        <v>88</v>
      </c>
      <c r="L35" s="136"/>
      <c r="M35" s="28">
        <v>88</v>
      </c>
      <c r="N35" s="136"/>
      <c r="O35" s="159"/>
      <c r="P35" s="159"/>
      <c r="Q35" s="159"/>
      <c r="R35" s="245"/>
      <c r="S35" s="162"/>
      <c r="T35" s="162"/>
      <c r="U35" s="229"/>
      <c r="V35" s="227"/>
      <c r="W35" s="229"/>
      <c r="X35" s="181"/>
      <c r="Y35" s="277"/>
    </row>
    <row r="36" spans="1:25" ht="24" customHeight="1">
      <c r="A36" s="320"/>
      <c r="B36" s="140"/>
      <c r="C36" s="140" t="s">
        <v>67</v>
      </c>
      <c r="D36" s="172" t="s">
        <v>22</v>
      </c>
      <c r="E36" s="328" t="s">
        <v>68</v>
      </c>
      <c r="F36" s="29" t="s">
        <v>33</v>
      </c>
      <c r="G36" s="268">
        <v>1</v>
      </c>
      <c r="H36" s="118">
        <v>1</v>
      </c>
      <c r="I36" s="28">
        <v>3</v>
      </c>
      <c r="J36" s="153">
        <f>I36/I37</f>
        <v>0.6</v>
      </c>
      <c r="K36" s="28">
        <v>4</v>
      </c>
      <c r="L36" s="153">
        <f>K36/K37</f>
        <v>0.8</v>
      </c>
      <c r="M36" s="28">
        <v>5</v>
      </c>
      <c r="N36" s="153">
        <f>M36/M37</f>
        <v>1</v>
      </c>
      <c r="O36" s="159">
        <v>0.6</v>
      </c>
      <c r="P36" s="159">
        <v>0.8</v>
      </c>
      <c r="Q36" s="159">
        <v>1</v>
      </c>
      <c r="R36" s="245" t="s">
        <v>302</v>
      </c>
      <c r="S36" s="183">
        <v>45170</v>
      </c>
      <c r="T36" s="183">
        <v>45291</v>
      </c>
      <c r="U36" s="229" t="s">
        <v>303</v>
      </c>
      <c r="V36" s="227" t="s">
        <v>304</v>
      </c>
      <c r="W36" s="229">
        <f>Q36</f>
        <v>1</v>
      </c>
      <c r="X36" s="181">
        <f t="shared" si="2"/>
        <v>1</v>
      </c>
      <c r="Y36" s="157" t="s">
        <v>301</v>
      </c>
    </row>
    <row r="37" spans="1:25" ht="57" customHeight="1" thickBot="1">
      <c r="A37" s="321"/>
      <c r="B37" s="141"/>
      <c r="C37" s="141"/>
      <c r="D37" s="205"/>
      <c r="E37" s="289"/>
      <c r="F37" s="48" t="s">
        <v>34</v>
      </c>
      <c r="G37" s="372"/>
      <c r="H37" s="119"/>
      <c r="I37" s="67">
        <v>5</v>
      </c>
      <c r="J37" s="175"/>
      <c r="K37" s="67">
        <v>5</v>
      </c>
      <c r="L37" s="175"/>
      <c r="M37" s="67">
        <v>5</v>
      </c>
      <c r="N37" s="175"/>
      <c r="O37" s="160"/>
      <c r="P37" s="160"/>
      <c r="Q37" s="160"/>
      <c r="R37" s="249"/>
      <c r="S37" s="215"/>
      <c r="T37" s="215"/>
      <c r="U37" s="230"/>
      <c r="V37" s="228"/>
      <c r="W37" s="230"/>
      <c r="X37" s="231"/>
      <c r="Y37" s="182"/>
    </row>
    <row r="38" spans="1:25" ht="31.5" customHeight="1">
      <c r="A38" s="319" t="s">
        <v>109</v>
      </c>
      <c r="B38" s="332" t="s">
        <v>110</v>
      </c>
      <c r="C38" s="329" t="s">
        <v>111</v>
      </c>
      <c r="D38" s="329" t="s">
        <v>112</v>
      </c>
      <c r="E38" s="413" t="s">
        <v>113</v>
      </c>
      <c r="F38" s="170" t="s">
        <v>114</v>
      </c>
      <c r="G38" s="253">
        <v>2000000000</v>
      </c>
      <c r="H38" s="253">
        <v>2500000000</v>
      </c>
      <c r="I38" s="306">
        <v>3671079693</v>
      </c>
      <c r="J38" s="219">
        <v>1</v>
      </c>
      <c r="K38" s="300">
        <v>8115153538</v>
      </c>
      <c r="L38" s="298">
        <v>1</v>
      </c>
      <c r="M38" s="300">
        <v>9003394887</v>
      </c>
      <c r="N38" s="219">
        <v>1</v>
      </c>
      <c r="O38" s="302">
        <v>1</v>
      </c>
      <c r="P38" s="280">
        <f>L38</f>
        <v>1</v>
      </c>
      <c r="Q38" s="280">
        <f>N38</f>
        <v>1</v>
      </c>
      <c r="R38" s="304" t="s">
        <v>315</v>
      </c>
      <c r="S38" s="250">
        <v>45017</v>
      </c>
      <c r="T38" s="250">
        <v>45199</v>
      </c>
      <c r="U38" s="241" t="s">
        <v>367</v>
      </c>
      <c r="V38" s="219" t="s">
        <v>314</v>
      </c>
      <c r="W38" s="220">
        <f>M38</f>
        <v>9003394887</v>
      </c>
      <c r="X38" s="192">
        <v>1</v>
      </c>
      <c r="Y38" s="233" t="s">
        <v>370</v>
      </c>
    </row>
    <row r="39" spans="1:25" ht="14.25" customHeight="1" thickBot="1">
      <c r="A39" s="320"/>
      <c r="B39" s="325"/>
      <c r="C39" s="316"/>
      <c r="D39" s="316"/>
      <c r="E39" s="344"/>
      <c r="F39" s="140"/>
      <c r="G39" s="254"/>
      <c r="H39" s="254"/>
      <c r="I39" s="307"/>
      <c r="J39" s="153"/>
      <c r="K39" s="301"/>
      <c r="L39" s="299"/>
      <c r="M39" s="301"/>
      <c r="N39" s="153"/>
      <c r="O39" s="303"/>
      <c r="P39" s="159"/>
      <c r="Q39" s="159"/>
      <c r="R39" s="246"/>
      <c r="S39" s="153"/>
      <c r="T39" s="235"/>
      <c r="U39" s="201"/>
      <c r="V39" s="153"/>
      <c r="W39" s="153"/>
      <c r="X39" s="118"/>
      <c r="Y39" s="217"/>
    </row>
    <row r="40" spans="1:25" ht="16.5" customHeight="1">
      <c r="A40" s="320"/>
      <c r="B40" s="325"/>
      <c r="C40" s="316" t="s">
        <v>115</v>
      </c>
      <c r="D40" s="316" t="s">
        <v>112</v>
      </c>
      <c r="E40" s="328" t="s">
        <v>116</v>
      </c>
      <c r="F40" s="29" t="s">
        <v>117</v>
      </c>
      <c r="G40" s="258">
        <v>1.03E-2</v>
      </c>
      <c r="H40" s="310">
        <v>1.2999999999999999E-2</v>
      </c>
      <c r="I40" s="10">
        <v>4229681522</v>
      </c>
      <c r="J40" s="151">
        <f>I40/I41</f>
        <v>1.0304130383773906</v>
      </c>
      <c r="K40" s="10">
        <v>7529077119</v>
      </c>
      <c r="L40" s="151">
        <f>+K40/K41</f>
        <v>1.3693528899253156</v>
      </c>
      <c r="M40" s="15">
        <f>+[1]Hoja2!$G$86</f>
        <v>7868722096.9850197</v>
      </c>
      <c r="N40" s="151">
        <f>M40/M41</f>
        <v>1.477438502240668</v>
      </c>
      <c r="O40" s="151">
        <f>J40</f>
        <v>1.0304130383773906</v>
      </c>
      <c r="P40" s="305">
        <f>L40</f>
        <v>1.3693528899253156</v>
      </c>
      <c r="Q40" s="305">
        <f>N40</f>
        <v>1.477438502240668</v>
      </c>
      <c r="R40" s="246" t="s">
        <v>316</v>
      </c>
      <c r="S40" s="234">
        <v>44927</v>
      </c>
      <c r="T40" s="234">
        <v>45199</v>
      </c>
      <c r="U40" s="201" t="s">
        <v>368</v>
      </c>
      <c r="V40" s="153" t="s">
        <v>314</v>
      </c>
      <c r="W40" s="151">
        <f>Q40</f>
        <v>1.477438502240668</v>
      </c>
      <c r="X40" s="192">
        <v>1</v>
      </c>
      <c r="Y40" s="217" t="s">
        <v>371</v>
      </c>
    </row>
    <row r="41" spans="1:25" ht="20.25" customHeight="1">
      <c r="A41" s="320"/>
      <c r="B41" s="325"/>
      <c r="C41" s="316"/>
      <c r="D41" s="316"/>
      <c r="E41" s="328"/>
      <c r="F41" s="29" t="s">
        <v>118</v>
      </c>
      <c r="G41" s="258"/>
      <c r="H41" s="310"/>
      <c r="I41" s="10">
        <v>4104840840</v>
      </c>
      <c r="J41" s="151"/>
      <c r="K41" s="10">
        <v>5498273801</v>
      </c>
      <c r="L41" s="151"/>
      <c r="M41" s="15">
        <f>+[1]Hoja2!$G$87</f>
        <v>5325921914.8894501</v>
      </c>
      <c r="N41" s="151"/>
      <c r="O41" s="151"/>
      <c r="P41" s="305"/>
      <c r="Q41" s="305"/>
      <c r="R41" s="246"/>
      <c r="S41" s="153"/>
      <c r="T41" s="235"/>
      <c r="U41" s="201"/>
      <c r="V41" s="153"/>
      <c r="W41" s="151"/>
      <c r="X41" s="118"/>
      <c r="Y41" s="217"/>
    </row>
    <row r="42" spans="1:25" ht="15" customHeight="1">
      <c r="A42" s="320"/>
      <c r="B42" s="325"/>
      <c r="C42" s="140" t="s">
        <v>119</v>
      </c>
      <c r="D42" s="316" t="s">
        <v>112</v>
      </c>
      <c r="E42" s="328" t="s">
        <v>120</v>
      </c>
      <c r="F42" s="29" t="s">
        <v>121</v>
      </c>
      <c r="G42" s="258">
        <v>0.29759999999999998</v>
      </c>
      <c r="H42" s="310">
        <v>0.28000000000000003</v>
      </c>
      <c r="I42" s="20">
        <v>12180794553</v>
      </c>
      <c r="J42" s="153">
        <f>I42/I43</f>
        <v>0.19248566325082828</v>
      </c>
      <c r="K42" s="10">
        <v>12555732056</v>
      </c>
      <c r="L42" s="153">
        <f>+K42/K43</f>
        <v>0.19148641944634553</v>
      </c>
      <c r="M42" s="15">
        <f>+[1]Hoja2!$G$89</f>
        <v>17359745408.88945</v>
      </c>
      <c r="N42" s="177">
        <f>+M42/M43</f>
        <v>0.25816245391750398</v>
      </c>
      <c r="O42" s="159">
        <f>J42</f>
        <v>0.19248566325082828</v>
      </c>
      <c r="P42" s="159">
        <f>L42</f>
        <v>0.19148641944634553</v>
      </c>
      <c r="Q42" s="159">
        <f>N42</f>
        <v>0.25816245391750398</v>
      </c>
      <c r="R42" s="246" t="s">
        <v>317</v>
      </c>
      <c r="S42" s="234">
        <v>44927</v>
      </c>
      <c r="T42" s="234">
        <v>45199</v>
      </c>
      <c r="U42" s="201" t="s">
        <v>369</v>
      </c>
      <c r="V42" s="153" t="s">
        <v>314</v>
      </c>
      <c r="W42" s="153">
        <v>0.28000000000000003</v>
      </c>
      <c r="X42" s="118">
        <v>1</v>
      </c>
      <c r="Y42" s="217" t="s">
        <v>372</v>
      </c>
    </row>
    <row r="43" spans="1:25" ht="20.25" customHeight="1" thickBot="1">
      <c r="A43" s="321"/>
      <c r="B43" s="326"/>
      <c r="C43" s="141"/>
      <c r="D43" s="317"/>
      <c r="E43" s="289"/>
      <c r="F43" s="48" t="s">
        <v>122</v>
      </c>
      <c r="G43" s="259"/>
      <c r="H43" s="311"/>
      <c r="I43" s="75">
        <v>63281567818</v>
      </c>
      <c r="J43" s="175"/>
      <c r="K43" s="76">
        <v>65569830447</v>
      </c>
      <c r="L43" s="175"/>
      <c r="M43" s="77">
        <f>+[1]Hoja2!$G$90</f>
        <v>67243493952.985016</v>
      </c>
      <c r="N43" s="242"/>
      <c r="O43" s="160"/>
      <c r="P43" s="160"/>
      <c r="Q43" s="160"/>
      <c r="R43" s="297"/>
      <c r="S43" s="175"/>
      <c r="T43" s="248"/>
      <c r="U43" s="202"/>
      <c r="V43" s="175"/>
      <c r="W43" s="175"/>
      <c r="X43" s="119"/>
      <c r="Y43" s="218"/>
    </row>
    <row r="44" spans="1:25" ht="25.5" customHeight="1">
      <c r="A44" s="319" t="s">
        <v>20</v>
      </c>
      <c r="B44" s="170" t="s">
        <v>45</v>
      </c>
      <c r="C44" s="329" t="s">
        <v>18</v>
      </c>
      <c r="D44" s="329" t="s">
        <v>0</v>
      </c>
      <c r="E44" s="288" t="s">
        <v>46</v>
      </c>
      <c r="F44" s="64" t="s">
        <v>69</v>
      </c>
      <c r="G44" s="148">
        <v>0.98919999999999997</v>
      </c>
      <c r="H44" s="219">
        <v>0.86</v>
      </c>
      <c r="I44" s="79">
        <v>4533841181</v>
      </c>
      <c r="J44" s="219">
        <f>+I44/I45</f>
        <v>0.84573493229014229</v>
      </c>
      <c r="K44" s="80">
        <v>1152285184</v>
      </c>
      <c r="L44" s="384">
        <f>K44/K45</f>
        <v>0.81152359275166597</v>
      </c>
      <c r="M44" s="79">
        <v>3670369069</v>
      </c>
      <c r="N44" s="148">
        <f>+M44/M45</f>
        <v>0.8110220691646165</v>
      </c>
      <c r="O44" s="161">
        <f>J44</f>
        <v>0.84573493229014229</v>
      </c>
      <c r="P44" s="130">
        <f>L44</f>
        <v>0.81152359275166597</v>
      </c>
      <c r="Q44" s="161">
        <f>N44</f>
        <v>0.8110220691646165</v>
      </c>
      <c r="R44" s="170" t="s">
        <v>305</v>
      </c>
      <c r="S44" s="171">
        <v>44927</v>
      </c>
      <c r="T44" s="171">
        <v>45230</v>
      </c>
      <c r="U44" s="170" t="s">
        <v>373</v>
      </c>
      <c r="V44" s="170" t="s">
        <v>378</v>
      </c>
      <c r="W44" s="176">
        <f>(O44+P44+Q44)/3</f>
        <v>0.82276019806880829</v>
      </c>
      <c r="X44" s="178">
        <f>W44</f>
        <v>0.82276019806880829</v>
      </c>
      <c r="Y44" s="185" t="s">
        <v>382</v>
      </c>
    </row>
    <row r="45" spans="1:25" ht="26.25" customHeight="1">
      <c r="A45" s="320"/>
      <c r="B45" s="140"/>
      <c r="C45" s="316"/>
      <c r="D45" s="316"/>
      <c r="E45" s="328"/>
      <c r="F45" s="29" t="s">
        <v>58</v>
      </c>
      <c r="G45" s="136"/>
      <c r="H45" s="153"/>
      <c r="I45" s="21">
        <v>5360829981</v>
      </c>
      <c r="J45" s="153"/>
      <c r="K45" s="13">
        <v>1419903493</v>
      </c>
      <c r="L45" s="257"/>
      <c r="M45" s="21">
        <v>4525609362</v>
      </c>
      <c r="N45" s="136"/>
      <c r="O45" s="162"/>
      <c r="P45" s="112"/>
      <c r="Q45" s="162"/>
      <c r="R45" s="140"/>
      <c r="S45" s="172"/>
      <c r="T45" s="172"/>
      <c r="U45" s="140"/>
      <c r="V45" s="140"/>
      <c r="W45" s="177"/>
      <c r="X45" s="137"/>
      <c r="Y45" s="174"/>
    </row>
    <row r="46" spans="1:25" ht="15.75" customHeight="1">
      <c r="A46" s="320"/>
      <c r="B46" s="140"/>
      <c r="C46" s="316"/>
      <c r="D46" s="316"/>
      <c r="E46" s="328" t="s">
        <v>47</v>
      </c>
      <c r="F46" s="29" t="s">
        <v>59</v>
      </c>
      <c r="G46" s="136">
        <v>0.9728</v>
      </c>
      <c r="H46" s="112">
        <v>0.86</v>
      </c>
      <c r="I46" s="21">
        <v>2888676610</v>
      </c>
      <c r="J46" s="136">
        <f>+I46/I47</f>
        <v>0.89057816858961958</v>
      </c>
      <c r="K46" s="13">
        <v>726781426</v>
      </c>
      <c r="L46" s="257">
        <f>K46/K47</f>
        <v>0.80890832547454583</v>
      </c>
      <c r="M46" s="21">
        <v>2299369394</v>
      </c>
      <c r="N46" s="136">
        <f>+M46/M47</f>
        <v>0.80333249098406589</v>
      </c>
      <c r="O46" s="162">
        <f>J46</f>
        <v>0.89057816858961958</v>
      </c>
      <c r="P46" s="257">
        <f>L46</f>
        <v>0.80890832547454583</v>
      </c>
      <c r="Q46" s="162">
        <f>N46</f>
        <v>0.80333249098406589</v>
      </c>
      <c r="R46" s="140"/>
      <c r="S46" s="173">
        <v>44927</v>
      </c>
      <c r="T46" s="173">
        <v>45230</v>
      </c>
      <c r="U46" s="140"/>
      <c r="V46" s="140"/>
      <c r="W46" s="177">
        <f>(O46+P46+Q46)/3</f>
        <v>0.8342729950160771</v>
      </c>
      <c r="X46" s="137">
        <f>W46</f>
        <v>0.8342729950160771</v>
      </c>
      <c r="Y46" s="174" t="s">
        <v>382</v>
      </c>
    </row>
    <row r="47" spans="1:25" ht="32.25" customHeight="1">
      <c r="A47" s="320"/>
      <c r="B47" s="140"/>
      <c r="C47" s="316"/>
      <c r="D47" s="316"/>
      <c r="E47" s="328"/>
      <c r="F47" s="29" t="s">
        <v>70</v>
      </c>
      <c r="G47" s="136"/>
      <c r="H47" s="112"/>
      <c r="I47" s="21">
        <v>3243596926</v>
      </c>
      <c r="J47" s="136"/>
      <c r="K47" s="13">
        <v>898471932</v>
      </c>
      <c r="L47" s="257"/>
      <c r="M47" s="21">
        <v>2862288554</v>
      </c>
      <c r="N47" s="136"/>
      <c r="O47" s="162"/>
      <c r="P47" s="257"/>
      <c r="Q47" s="162"/>
      <c r="R47" s="140"/>
      <c r="S47" s="172"/>
      <c r="T47" s="172"/>
      <c r="U47" s="140"/>
      <c r="V47" s="140"/>
      <c r="W47" s="177"/>
      <c r="X47" s="137"/>
      <c r="Y47" s="174"/>
    </row>
    <row r="48" spans="1:25" ht="30.75" customHeight="1">
      <c r="A48" s="320"/>
      <c r="B48" s="140"/>
      <c r="C48" s="316"/>
      <c r="D48" s="316"/>
      <c r="E48" s="328" t="s">
        <v>48</v>
      </c>
      <c r="F48" s="29" t="s">
        <v>59</v>
      </c>
      <c r="G48" s="257">
        <v>0.995</v>
      </c>
      <c r="H48" s="112">
        <v>0.86</v>
      </c>
      <c r="I48" s="21">
        <v>269223751</v>
      </c>
      <c r="J48" s="153">
        <f>+I48/I49</f>
        <v>0.70023980889571713</v>
      </c>
      <c r="K48" s="13">
        <v>63246291</v>
      </c>
      <c r="L48" s="257">
        <f>K48/K49</f>
        <v>0.78154514790790641</v>
      </c>
      <c r="M48" s="21">
        <v>186858584</v>
      </c>
      <c r="N48" s="136">
        <f>+M48/M49</f>
        <v>0.8118265120114001</v>
      </c>
      <c r="O48" s="146">
        <f>J48</f>
        <v>0.70023980889571713</v>
      </c>
      <c r="P48" s="146">
        <f>L48</f>
        <v>0.78154514790790641</v>
      </c>
      <c r="Q48" s="146">
        <f>N48</f>
        <v>0.8118265120114001</v>
      </c>
      <c r="R48" s="140"/>
      <c r="S48" s="173">
        <v>44927</v>
      </c>
      <c r="T48" s="173">
        <v>45230</v>
      </c>
      <c r="U48" s="140"/>
      <c r="V48" s="140"/>
      <c r="W48" s="177">
        <f>(O48+P48+Q48)/3</f>
        <v>0.76453715627167451</v>
      </c>
      <c r="X48" s="137">
        <f>W48</f>
        <v>0.76453715627167451</v>
      </c>
      <c r="Y48" s="174" t="s">
        <v>382</v>
      </c>
    </row>
    <row r="49" spans="1:25" ht="30" customHeight="1">
      <c r="A49" s="320"/>
      <c r="B49" s="140"/>
      <c r="C49" s="316"/>
      <c r="D49" s="316"/>
      <c r="E49" s="328"/>
      <c r="F49" s="29" t="s">
        <v>70</v>
      </c>
      <c r="G49" s="257"/>
      <c r="H49" s="112"/>
      <c r="I49" s="21">
        <v>384473644</v>
      </c>
      <c r="J49" s="153"/>
      <c r="K49" s="13">
        <v>80924680</v>
      </c>
      <c r="L49" s="257"/>
      <c r="M49" s="21">
        <v>230170586</v>
      </c>
      <c r="N49" s="136"/>
      <c r="O49" s="146"/>
      <c r="P49" s="146"/>
      <c r="Q49" s="146"/>
      <c r="R49" s="140"/>
      <c r="S49" s="172"/>
      <c r="T49" s="172"/>
      <c r="U49" s="140"/>
      <c r="V49" s="140"/>
      <c r="W49" s="177"/>
      <c r="X49" s="137"/>
      <c r="Y49" s="174"/>
    </row>
    <row r="50" spans="1:25" ht="30.75" customHeight="1">
      <c r="A50" s="320"/>
      <c r="B50" s="140"/>
      <c r="C50" s="316" t="s">
        <v>53</v>
      </c>
      <c r="D50" s="316" t="s">
        <v>0</v>
      </c>
      <c r="E50" s="27" t="s">
        <v>54</v>
      </c>
      <c r="F50" s="29" t="s">
        <v>56</v>
      </c>
      <c r="G50" s="22">
        <v>44346</v>
      </c>
      <c r="H50" s="36">
        <v>44852</v>
      </c>
      <c r="I50" s="36">
        <v>413</v>
      </c>
      <c r="J50" s="25">
        <f>I50/506</f>
        <v>0.8162055335968379</v>
      </c>
      <c r="K50" s="38">
        <v>152</v>
      </c>
      <c r="L50" s="23">
        <v>1</v>
      </c>
      <c r="M50" s="38">
        <v>222</v>
      </c>
      <c r="N50" s="23">
        <v>1</v>
      </c>
      <c r="O50" s="23">
        <v>1</v>
      </c>
      <c r="P50" s="23">
        <v>1</v>
      </c>
      <c r="Q50" s="23">
        <v>1</v>
      </c>
      <c r="R50" s="140" t="s">
        <v>306</v>
      </c>
      <c r="S50" s="37">
        <v>44927</v>
      </c>
      <c r="T50" s="37">
        <v>45260</v>
      </c>
      <c r="U50" s="140" t="s">
        <v>374</v>
      </c>
      <c r="V50" s="140" t="s">
        <v>379</v>
      </c>
      <c r="W50" s="31">
        <v>1</v>
      </c>
      <c r="X50" s="39">
        <f>Q50</f>
        <v>1</v>
      </c>
      <c r="Y50" s="47" t="s">
        <v>383</v>
      </c>
    </row>
    <row r="51" spans="1:25" ht="12.75" customHeight="1">
      <c r="A51" s="320"/>
      <c r="B51" s="140"/>
      <c r="C51" s="316"/>
      <c r="D51" s="316"/>
      <c r="E51" s="328" t="s">
        <v>57</v>
      </c>
      <c r="F51" s="140" t="s">
        <v>55</v>
      </c>
      <c r="G51" s="255">
        <v>41172</v>
      </c>
      <c r="H51" s="255">
        <v>41471</v>
      </c>
      <c r="I51" s="255">
        <v>347</v>
      </c>
      <c r="J51" s="257">
        <v>1</v>
      </c>
      <c r="K51" s="273">
        <v>251</v>
      </c>
      <c r="L51" s="153">
        <v>1</v>
      </c>
      <c r="M51" s="273">
        <v>169</v>
      </c>
      <c r="N51" s="153">
        <v>1</v>
      </c>
      <c r="O51" s="136">
        <v>1</v>
      </c>
      <c r="P51" s="149">
        <f>L51</f>
        <v>1</v>
      </c>
      <c r="Q51" s="136">
        <v>1</v>
      </c>
      <c r="R51" s="140"/>
      <c r="S51" s="173">
        <v>44927</v>
      </c>
      <c r="T51" s="173">
        <v>45260</v>
      </c>
      <c r="U51" s="140"/>
      <c r="V51" s="140"/>
      <c r="W51" s="163">
        <v>1</v>
      </c>
      <c r="X51" s="137">
        <v>1</v>
      </c>
      <c r="Y51" s="174" t="s">
        <v>382</v>
      </c>
    </row>
    <row r="52" spans="1:25" ht="16.5" customHeight="1">
      <c r="A52" s="320"/>
      <c r="B52" s="140"/>
      <c r="C52" s="316"/>
      <c r="D52" s="316"/>
      <c r="E52" s="328"/>
      <c r="F52" s="140"/>
      <c r="G52" s="255"/>
      <c r="H52" s="255"/>
      <c r="I52" s="255"/>
      <c r="J52" s="257"/>
      <c r="K52" s="273"/>
      <c r="L52" s="153"/>
      <c r="M52" s="273"/>
      <c r="N52" s="153"/>
      <c r="O52" s="136"/>
      <c r="P52" s="149"/>
      <c r="Q52" s="136"/>
      <c r="R52" s="140"/>
      <c r="S52" s="172"/>
      <c r="T52" s="172"/>
      <c r="U52" s="140"/>
      <c r="V52" s="140"/>
      <c r="W52" s="163"/>
      <c r="X52" s="137"/>
      <c r="Y52" s="174"/>
    </row>
    <row r="53" spans="1:25" ht="21" customHeight="1">
      <c r="A53" s="320"/>
      <c r="B53" s="140"/>
      <c r="C53" s="316" t="s">
        <v>19</v>
      </c>
      <c r="D53" s="316" t="s">
        <v>0</v>
      </c>
      <c r="E53" s="328" t="s">
        <v>39</v>
      </c>
      <c r="F53" s="29" t="s">
        <v>40</v>
      </c>
      <c r="G53" s="136">
        <v>0.31940000000000002</v>
      </c>
      <c r="H53" s="112">
        <v>0.56000000000000005</v>
      </c>
      <c r="I53" s="21">
        <v>1350348405</v>
      </c>
      <c r="J53" s="256">
        <f>I53/I54</f>
        <v>0.33330617778093868</v>
      </c>
      <c r="K53" s="13">
        <v>417016986</v>
      </c>
      <c r="L53" s="257">
        <f>K53/K54</f>
        <v>0.61655513966227327</v>
      </c>
      <c r="M53" s="21">
        <v>1291165177</v>
      </c>
      <c r="N53" s="112">
        <f>M53/M54</f>
        <v>0.42264308433724773</v>
      </c>
      <c r="O53" s="146">
        <f>J53</f>
        <v>0.33330617778093868</v>
      </c>
      <c r="P53" s="257">
        <f>L53</f>
        <v>0.61655513966227327</v>
      </c>
      <c r="Q53" s="238">
        <f>N53</f>
        <v>0.42264308433724773</v>
      </c>
      <c r="R53" s="140" t="s">
        <v>307</v>
      </c>
      <c r="S53" s="173">
        <v>44927</v>
      </c>
      <c r="T53" s="173">
        <v>45230</v>
      </c>
      <c r="U53" s="140" t="s">
        <v>375</v>
      </c>
      <c r="V53" s="140" t="s">
        <v>378</v>
      </c>
      <c r="W53" s="190">
        <v>0.75</v>
      </c>
      <c r="X53" s="149">
        <v>0.42259999999999998</v>
      </c>
      <c r="Y53" s="174" t="s">
        <v>457</v>
      </c>
    </row>
    <row r="54" spans="1:25" ht="21.75" customHeight="1">
      <c r="A54" s="320"/>
      <c r="B54" s="140"/>
      <c r="C54" s="316"/>
      <c r="D54" s="316"/>
      <c r="E54" s="328"/>
      <c r="F54" s="29" t="s">
        <v>41</v>
      </c>
      <c r="G54" s="136"/>
      <c r="H54" s="112"/>
      <c r="I54" s="21">
        <v>4051375267</v>
      </c>
      <c r="J54" s="256"/>
      <c r="K54" s="13">
        <v>676366085</v>
      </c>
      <c r="L54" s="257"/>
      <c r="M54" s="21">
        <v>3054977651</v>
      </c>
      <c r="N54" s="112"/>
      <c r="O54" s="146"/>
      <c r="P54" s="257"/>
      <c r="Q54" s="238"/>
      <c r="R54" s="140"/>
      <c r="S54" s="172"/>
      <c r="T54" s="172"/>
      <c r="U54" s="140"/>
      <c r="V54" s="140"/>
      <c r="W54" s="190"/>
      <c r="X54" s="149"/>
      <c r="Y54" s="174"/>
    </row>
    <row r="55" spans="1:25" ht="27" customHeight="1">
      <c r="A55" s="320"/>
      <c r="B55" s="140"/>
      <c r="C55" s="316" t="s">
        <v>49</v>
      </c>
      <c r="D55" s="316" t="s">
        <v>0</v>
      </c>
      <c r="E55" s="322" t="s">
        <v>50</v>
      </c>
      <c r="F55" s="34" t="s">
        <v>42</v>
      </c>
      <c r="G55" s="345">
        <v>2.1000000000000001E-4</v>
      </c>
      <c r="H55" s="256">
        <v>5.0000000000000001E-3</v>
      </c>
      <c r="I55" s="36">
        <v>179</v>
      </c>
      <c r="J55" s="310">
        <f>I55/I56</f>
        <v>4.0134529147982066E-3</v>
      </c>
      <c r="K55" s="22">
        <v>14</v>
      </c>
      <c r="L55" s="257">
        <f>K55/K56</f>
        <v>3.0985105017373792E-4</v>
      </c>
      <c r="M55" s="36">
        <v>27</v>
      </c>
      <c r="N55" s="257">
        <f>M55/M56</f>
        <v>5.9464816650148667E-4</v>
      </c>
      <c r="O55" s="238">
        <f>J55</f>
        <v>4.0134529147982066E-3</v>
      </c>
      <c r="P55" s="146">
        <f>L55</f>
        <v>3.0985105017373792E-4</v>
      </c>
      <c r="Q55" s="146">
        <f>N55</f>
        <v>5.9464816650148667E-4</v>
      </c>
      <c r="R55" s="140" t="s">
        <v>308</v>
      </c>
      <c r="S55" s="173">
        <v>44927</v>
      </c>
      <c r="T55" s="173">
        <v>45260</v>
      </c>
      <c r="U55" s="140" t="s">
        <v>376</v>
      </c>
      <c r="V55" s="140" t="s">
        <v>380</v>
      </c>
      <c r="W55" s="268">
        <v>1</v>
      </c>
      <c r="X55" s="118">
        <v>1</v>
      </c>
      <c r="Y55" s="174" t="s">
        <v>382</v>
      </c>
    </row>
    <row r="56" spans="1:25" ht="27" customHeight="1">
      <c r="A56" s="320"/>
      <c r="B56" s="140"/>
      <c r="C56" s="316"/>
      <c r="D56" s="316"/>
      <c r="E56" s="322"/>
      <c r="F56" s="34" t="s">
        <v>30</v>
      </c>
      <c r="G56" s="345"/>
      <c r="H56" s="256"/>
      <c r="I56" s="36">
        <v>44600</v>
      </c>
      <c r="J56" s="310"/>
      <c r="K56" s="22">
        <v>45183</v>
      </c>
      <c r="L56" s="257"/>
      <c r="M56" s="36">
        <v>45405</v>
      </c>
      <c r="N56" s="257"/>
      <c r="O56" s="238"/>
      <c r="P56" s="146"/>
      <c r="Q56" s="146"/>
      <c r="R56" s="140"/>
      <c r="S56" s="172"/>
      <c r="T56" s="172"/>
      <c r="U56" s="140"/>
      <c r="V56" s="140"/>
      <c r="W56" s="268"/>
      <c r="X56" s="118"/>
      <c r="Y56" s="174"/>
    </row>
    <row r="57" spans="1:25" ht="27" customHeight="1">
      <c r="A57" s="320"/>
      <c r="B57" s="140"/>
      <c r="C57" s="316"/>
      <c r="D57" s="316"/>
      <c r="E57" s="322" t="s">
        <v>51</v>
      </c>
      <c r="F57" s="34" t="s">
        <v>42</v>
      </c>
      <c r="G57" s="257">
        <v>0</v>
      </c>
      <c r="H57" s="257">
        <v>5.0000000000000001E-4</v>
      </c>
      <c r="I57" s="36">
        <v>3</v>
      </c>
      <c r="J57" s="257">
        <f>I57/I58</f>
        <v>7.2590011614401858E-5</v>
      </c>
      <c r="K57" s="22">
        <v>0</v>
      </c>
      <c r="L57" s="257">
        <f>K57/K58</f>
        <v>0</v>
      </c>
      <c r="M57" s="36">
        <v>1</v>
      </c>
      <c r="N57" s="308">
        <f>M57/M58</f>
        <v>2.3326879563320814E-5</v>
      </c>
      <c r="O57" s="146">
        <f>J57</f>
        <v>7.2590011614401858E-5</v>
      </c>
      <c r="P57" s="146">
        <f>L57</f>
        <v>0</v>
      </c>
      <c r="Q57" s="146">
        <f>N57</f>
        <v>2.3326879563320814E-5</v>
      </c>
      <c r="R57" s="140"/>
      <c r="S57" s="173">
        <v>44927</v>
      </c>
      <c r="T57" s="173">
        <v>45260</v>
      </c>
      <c r="U57" s="140"/>
      <c r="V57" s="140"/>
      <c r="W57" s="267">
        <v>1</v>
      </c>
      <c r="X57" s="137">
        <v>1</v>
      </c>
      <c r="Y57" s="174" t="s">
        <v>382</v>
      </c>
    </row>
    <row r="58" spans="1:25" ht="33.75" customHeight="1">
      <c r="A58" s="320"/>
      <c r="B58" s="140"/>
      <c r="C58" s="316"/>
      <c r="D58" s="316"/>
      <c r="E58" s="322"/>
      <c r="F58" s="34" t="s">
        <v>43</v>
      </c>
      <c r="G58" s="257"/>
      <c r="H58" s="257"/>
      <c r="I58" s="36">
        <v>41328</v>
      </c>
      <c r="J58" s="257"/>
      <c r="K58" s="22">
        <v>42700</v>
      </c>
      <c r="L58" s="257"/>
      <c r="M58" s="22">
        <v>42869</v>
      </c>
      <c r="N58" s="308"/>
      <c r="O58" s="146"/>
      <c r="P58" s="146"/>
      <c r="Q58" s="146"/>
      <c r="R58" s="140"/>
      <c r="S58" s="172"/>
      <c r="T58" s="172"/>
      <c r="U58" s="140"/>
      <c r="V58" s="140"/>
      <c r="W58" s="267"/>
      <c r="X58" s="137"/>
      <c r="Y58" s="174"/>
    </row>
    <row r="59" spans="1:25" ht="31.5" customHeight="1">
      <c r="A59" s="320"/>
      <c r="B59" s="140"/>
      <c r="C59" s="316"/>
      <c r="D59" s="316"/>
      <c r="E59" s="322" t="s">
        <v>52</v>
      </c>
      <c r="F59" s="34" t="s">
        <v>42</v>
      </c>
      <c r="G59" s="346">
        <v>5.0000000000000002E-5</v>
      </c>
      <c r="H59" s="257">
        <v>5.0000000000000001E-4</v>
      </c>
      <c r="I59" s="36">
        <v>2</v>
      </c>
      <c r="J59" s="398">
        <f>(I59/I60)/100</f>
        <v>5.7887120115774238E-6</v>
      </c>
      <c r="K59" s="22">
        <v>1</v>
      </c>
      <c r="L59" s="257">
        <f>K59/K60</f>
        <v>2.7181299266104919E-4</v>
      </c>
      <c r="M59" s="36">
        <v>0</v>
      </c>
      <c r="N59" s="308">
        <f>M59*100/M60</f>
        <v>0</v>
      </c>
      <c r="O59" s="392">
        <f>J59</f>
        <v>5.7887120115774238E-6</v>
      </c>
      <c r="P59" s="146">
        <f>L59</f>
        <v>2.7181299266104919E-4</v>
      </c>
      <c r="Q59" s="146">
        <f>N59</f>
        <v>0</v>
      </c>
      <c r="R59" s="140"/>
      <c r="S59" s="173">
        <v>44927</v>
      </c>
      <c r="T59" s="173">
        <v>45260</v>
      </c>
      <c r="U59" s="140"/>
      <c r="V59" s="140"/>
      <c r="W59" s="257">
        <v>1</v>
      </c>
      <c r="X59" s="137">
        <v>1</v>
      </c>
      <c r="Y59" s="174" t="s">
        <v>382</v>
      </c>
    </row>
    <row r="60" spans="1:25" ht="30.75" customHeight="1">
      <c r="A60" s="320"/>
      <c r="B60" s="140"/>
      <c r="C60" s="316"/>
      <c r="D60" s="316"/>
      <c r="E60" s="322"/>
      <c r="F60" s="34" t="s">
        <v>44</v>
      </c>
      <c r="G60" s="346"/>
      <c r="H60" s="257"/>
      <c r="I60" s="36">
        <v>3455</v>
      </c>
      <c r="J60" s="398"/>
      <c r="K60" s="22">
        <v>3679</v>
      </c>
      <c r="L60" s="257"/>
      <c r="M60" s="22">
        <v>3684</v>
      </c>
      <c r="N60" s="308"/>
      <c r="O60" s="392"/>
      <c r="P60" s="146"/>
      <c r="Q60" s="146"/>
      <c r="R60" s="140"/>
      <c r="S60" s="172"/>
      <c r="T60" s="172"/>
      <c r="U60" s="140"/>
      <c r="V60" s="140"/>
      <c r="W60" s="257"/>
      <c r="X60" s="137"/>
      <c r="Y60" s="174"/>
    </row>
    <row r="61" spans="1:25" ht="42" customHeight="1">
      <c r="A61" s="320"/>
      <c r="B61" s="140"/>
      <c r="C61" s="316" t="s">
        <v>241</v>
      </c>
      <c r="D61" s="140" t="s">
        <v>75</v>
      </c>
      <c r="E61" s="322" t="s">
        <v>243</v>
      </c>
      <c r="F61" s="34" t="s">
        <v>242</v>
      </c>
      <c r="G61" s="36">
        <v>534</v>
      </c>
      <c r="H61" s="36">
        <v>560</v>
      </c>
      <c r="I61" s="36">
        <v>184</v>
      </c>
      <c r="J61" s="32">
        <v>1</v>
      </c>
      <c r="K61" s="14">
        <v>49</v>
      </c>
      <c r="L61" s="45">
        <v>1</v>
      </c>
      <c r="M61" s="28">
        <v>146</v>
      </c>
      <c r="N61" s="32">
        <v>1</v>
      </c>
      <c r="O61" s="23">
        <f>J61</f>
        <v>1</v>
      </c>
      <c r="P61" s="46">
        <f>L61</f>
        <v>1</v>
      </c>
      <c r="Q61" s="23">
        <f>N61</f>
        <v>1</v>
      </c>
      <c r="R61" s="29" t="s">
        <v>309</v>
      </c>
      <c r="S61" s="173">
        <v>44927</v>
      </c>
      <c r="T61" s="173">
        <v>45260</v>
      </c>
      <c r="U61" s="140" t="s">
        <v>377</v>
      </c>
      <c r="V61" s="140" t="s">
        <v>381</v>
      </c>
      <c r="W61" s="32">
        <f>379/H61</f>
        <v>0.67678571428571432</v>
      </c>
      <c r="X61" s="26">
        <v>0.68</v>
      </c>
      <c r="Y61" s="174"/>
    </row>
    <row r="62" spans="1:25" ht="39" customHeight="1" thickBot="1">
      <c r="A62" s="321"/>
      <c r="B62" s="141"/>
      <c r="C62" s="317"/>
      <c r="D62" s="141"/>
      <c r="E62" s="323"/>
      <c r="F62" s="56" t="s">
        <v>244</v>
      </c>
      <c r="G62" s="65">
        <v>2482</v>
      </c>
      <c r="H62" s="65">
        <v>2400</v>
      </c>
      <c r="I62" s="78">
        <v>215</v>
      </c>
      <c r="J62" s="81">
        <f>I62/H62</f>
        <v>8.9583333333333334E-2</v>
      </c>
      <c r="K62" s="65">
        <v>652</v>
      </c>
      <c r="L62" s="82">
        <f>+K62/H62</f>
        <v>0.27166666666666667</v>
      </c>
      <c r="M62" s="67">
        <v>608</v>
      </c>
      <c r="N62" s="66">
        <v>1</v>
      </c>
      <c r="O62" s="53">
        <f>I62/800</f>
        <v>0.26874999999999999</v>
      </c>
      <c r="P62" s="83">
        <f>L62</f>
        <v>0.27166666666666667</v>
      </c>
      <c r="Q62" s="53">
        <f>N62</f>
        <v>1</v>
      </c>
      <c r="R62" s="48" t="s">
        <v>310</v>
      </c>
      <c r="S62" s="205"/>
      <c r="T62" s="205"/>
      <c r="U62" s="141"/>
      <c r="V62" s="141"/>
      <c r="W62" s="66">
        <f>1475/H62</f>
        <v>0.61458333333333337</v>
      </c>
      <c r="X62" s="55">
        <v>0.61</v>
      </c>
      <c r="Y62" s="191"/>
    </row>
    <row r="63" spans="1:25" ht="35.25" customHeight="1">
      <c r="A63" s="319" t="s">
        <v>72</v>
      </c>
      <c r="B63" s="170" t="s">
        <v>73</v>
      </c>
      <c r="C63" s="170" t="s">
        <v>74</v>
      </c>
      <c r="D63" s="170" t="s">
        <v>75</v>
      </c>
      <c r="E63" s="288" t="s">
        <v>76</v>
      </c>
      <c r="F63" s="64" t="s">
        <v>77</v>
      </c>
      <c r="G63" s="342">
        <v>1</v>
      </c>
      <c r="H63" s="192">
        <v>1</v>
      </c>
      <c r="I63" s="84">
        <v>18</v>
      </c>
      <c r="J63" s="269">
        <f>I63/I64</f>
        <v>0.6</v>
      </c>
      <c r="K63" s="61">
        <v>5</v>
      </c>
      <c r="L63" s="208">
        <f>+K63/K64</f>
        <v>0.16666666666666666</v>
      </c>
      <c r="M63" s="85">
        <v>7</v>
      </c>
      <c r="N63" s="192">
        <f>M63/M64</f>
        <v>0.23333333333333334</v>
      </c>
      <c r="O63" s="219">
        <f>J63</f>
        <v>0.6</v>
      </c>
      <c r="P63" s="176">
        <f>L63</f>
        <v>0.16666666666666666</v>
      </c>
      <c r="Q63" s="219">
        <f>N63</f>
        <v>0.23333333333333334</v>
      </c>
      <c r="R63" s="186" t="s">
        <v>384</v>
      </c>
      <c r="S63" s="167">
        <v>45170</v>
      </c>
      <c r="T63" s="188">
        <v>45260</v>
      </c>
      <c r="U63" s="186" t="s">
        <v>384</v>
      </c>
      <c r="V63" s="211" t="s">
        <v>385</v>
      </c>
      <c r="W63" s="130">
        <v>1</v>
      </c>
      <c r="X63" s="192">
        <f>W63</f>
        <v>1</v>
      </c>
      <c r="Y63" s="158" t="s">
        <v>385</v>
      </c>
    </row>
    <row r="64" spans="1:25" ht="25.5" customHeight="1">
      <c r="A64" s="320"/>
      <c r="B64" s="140"/>
      <c r="C64" s="140"/>
      <c r="D64" s="140"/>
      <c r="E64" s="328"/>
      <c r="F64" s="29" t="s">
        <v>78</v>
      </c>
      <c r="G64" s="268"/>
      <c r="H64" s="118"/>
      <c r="I64" s="38">
        <v>30</v>
      </c>
      <c r="J64" s="270"/>
      <c r="K64" s="24">
        <v>30</v>
      </c>
      <c r="L64" s="209"/>
      <c r="M64" s="18">
        <v>30</v>
      </c>
      <c r="N64" s="118"/>
      <c r="O64" s="153"/>
      <c r="P64" s="177"/>
      <c r="Q64" s="153"/>
      <c r="R64" s="187"/>
      <c r="S64" s="162"/>
      <c r="T64" s="169"/>
      <c r="U64" s="187"/>
      <c r="V64" s="212"/>
      <c r="W64" s="112"/>
      <c r="X64" s="118"/>
      <c r="Y64" s="157"/>
    </row>
    <row r="65" spans="1:26" ht="46.5" customHeight="1">
      <c r="A65" s="320"/>
      <c r="B65" s="140"/>
      <c r="C65" s="325" t="s">
        <v>258</v>
      </c>
      <c r="D65" s="316" t="s">
        <v>0</v>
      </c>
      <c r="E65" s="325" t="s">
        <v>259</v>
      </c>
      <c r="F65" s="29" t="s">
        <v>260</v>
      </c>
      <c r="G65" s="268">
        <v>0.75</v>
      </c>
      <c r="H65" s="268">
        <v>0.8</v>
      </c>
      <c r="I65" s="12">
        <v>12</v>
      </c>
      <c r="J65" s="270">
        <f>I65/I66</f>
        <v>0.38709677419354838</v>
      </c>
      <c r="K65" s="24">
        <v>8</v>
      </c>
      <c r="L65" s="209">
        <f>+K65/K66</f>
        <v>0.25806451612903225</v>
      </c>
      <c r="M65" s="19">
        <v>8</v>
      </c>
      <c r="N65" s="118">
        <f>M65/M66</f>
        <v>0.25806451612903225</v>
      </c>
      <c r="O65" s="153">
        <f>J65</f>
        <v>0.38709677419354838</v>
      </c>
      <c r="P65" s="177">
        <f>L65</f>
        <v>0.25806451612903225</v>
      </c>
      <c r="Q65" s="153">
        <f>N65</f>
        <v>0.25806451612903225</v>
      </c>
      <c r="R65" s="168" t="s">
        <v>386</v>
      </c>
      <c r="S65" s="183">
        <v>45170</v>
      </c>
      <c r="T65" s="168">
        <v>45260</v>
      </c>
      <c r="U65" s="168" t="s">
        <v>386</v>
      </c>
      <c r="V65" s="212" t="s">
        <v>385</v>
      </c>
      <c r="W65" s="112">
        <f>O65+Q65+Q65</f>
        <v>0.90322580645161288</v>
      </c>
      <c r="X65" s="118">
        <f>W65</f>
        <v>0.90322580645161288</v>
      </c>
      <c r="Y65" s="157" t="s">
        <v>385</v>
      </c>
    </row>
    <row r="66" spans="1:26" ht="54.75" customHeight="1">
      <c r="A66" s="320"/>
      <c r="B66" s="140"/>
      <c r="C66" s="325"/>
      <c r="D66" s="316"/>
      <c r="E66" s="325"/>
      <c r="F66" s="29" t="s">
        <v>78</v>
      </c>
      <c r="G66" s="268"/>
      <c r="H66" s="268"/>
      <c r="I66" s="12">
        <v>31</v>
      </c>
      <c r="J66" s="270"/>
      <c r="K66" s="24">
        <v>31</v>
      </c>
      <c r="L66" s="209"/>
      <c r="M66" s="19">
        <v>31</v>
      </c>
      <c r="N66" s="118"/>
      <c r="O66" s="153"/>
      <c r="P66" s="177"/>
      <c r="Q66" s="153"/>
      <c r="R66" s="169"/>
      <c r="S66" s="162"/>
      <c r="T66" s="169"/>
      <c r="U66" s="169"/>
      <c r="V66" s="212"/>
      <c r="W66" s="112"/>
      <c r="X66" s="118"/>
      <c r="Y66" s="157"/>
    </row>
    <row r="67" spans="1:26" ht="32.25" customHeight="1">
      <c r="A67" s="320"/>
      <c r="B67" s="140"/>
      <c r="C67" s="328" t="s">
        <v>261</v>
      </c>
      <c r="D67" s="140" t="s">
        <v>0</v>
      </c>
      <c r="E67" s="328" t="s">
        <v>262</v>
      </c>
      <c r="F67" s="29" t="s">
        <v>260</v>
      </c>
      <c r="G67" s="268">
        <v>1</v>
      </c>
      <c r="H67" s="268">
        <v>1</v>
      </c>
      <c r="I67" s="12">
        <v>2</v>
      </c>
      <c r="J67" s="270">
        <f>I67/I68</f>
        <v>0.4</v>
      </c>
      <c r="K67" s="11">
        <v>2</v>
      </c>
      <c r="L67" s="315">
        <f>+K67/K68</f>
        <v>0.4</v>
      </c>
      <c r="M67" s="19">
        <v>1</v>
      </c>
      <c r="N67" s="118">
        <f>M67/M68</f>
        <v>0.2</v>
      </c>
      <c r="O67" s="153">
        <f>J67</f>
        <v>0.4</v>
      </c>
      <c r="P67" s="153">
        <f>L67</f>
        <v>0.4</v>
      </c>
      <c r="Q67" s="153">
        <f>N67</f>
        <v>0.2</v>
      </c>
      <c r="R67" s="187" t="s">
        <v>387</v>
      </c>
      <c r="S67" s="183">
        <v>45170</v>
      </c>
      <c r="T67" s="168">
        <v>45260</v>
      </c>
      <c r="U67" s="187" t="s">
        <v>387</v>
      </c>
      <c r="V67" s="166" t="s">
        <v>388</v>
      </c>
      <c r="W67" s="155">
        <f>O67+P67+Q67</f>
        <v>1</v>
      </c>
      <c r="X67" s="155">
        <f>W67</f>
        <v>1</v>
      </c>
      <c r="Y67" s="157" t="s">
        <v>385</v>
      </c>
    </row>
    <row r="68" spans="1:26" ht="29.25" customHeight="1">
      <c r="A68" s="320"/>
      <c r="B68" s="140"/>
      <c r="C68" s="328"/>
      <c r="D68" s="140"/>
      <c r="E68" s="328"/>
      <c r="F68" s="29" t="s">
        <v>78</v>
      </c>
      <c r="G68" s="268"/>
      <c r="H68" s="268"/>
      <c r="I68" s="12">
        <v>5</v>
      </c>
      <c r="J68" s="270"/>
      <c r="K68" s="12">
        <v>5</v>
      </c>
      <c r="L68" s="315"/>
      <c r="M68" s="19">
        <v>5</v>
      </c>
      <c r="N68" s="118"/>
      <c r="O68" s="153"/>
      <c r="P68" s="153"/>
      <c r="Q68" s="153"/>
      <c r="R68" s="187"/>
      <c r="S68" s="162"/>
      <c r="T68" s="169"/>
      <c r="U68" s="187"/>
      <c r="V68" s="166"/>
      <c r="W68" s="155"/>
      <c r="X68" s="155"/>
      <c r="Y68" s="157"/>
    </row>
    <row r="69" spans="1:26" ht="21.75" customHeight="1">
      <c r="A69" s="320"/>
      <c r="B69" s="140"/>
      <c r="C69" s="328" t="s">
        <v>263</v>
      </c>
      <c r="D69" s="140" t="s">
        <v>79</v>
      </c>
      <c r="E69" s="328" t="s">
        <v>263</v>
      </c>
      <c r="F69" s="29" t="s">
        <v>264</v>
      </c>
      <c r="G69" s="118">
        <v>0.6</v>
      </c>
      <c r="H69" s="268">
        <v>1</v>
      </c>
      <c r="I69" s="12">
        <v>4</v>
      </c>
      <c r="J69" s="270">
        <f>+I69/I70</f>
        <v>0.8</v>
      </c>
      <c r="K69" s="11">
        <v>0</v>
      </c>
      <c r="L69" s="118">
        <f>+K69/K70</f>
        <v>0</v>
      </c>
      <c r="M69" s="11">
        <v>1</v>
      </c>
      <c r="N69" s="118">
        <f>M69/M70</f>
        <v>0.2</v>
      </c>
      <c r="O69" s="153">
        <f>J69</f>
        <v>0.8</v>
      </c>
      <c r="P69" s="153">
        <f>L69</f>
        <v>0</v>
      </c>
      <c r="Q69" s="153">
        <f>N69</f>
        <v>0.2</v>
      </c>
      <c r="R69" s="169" t="s">
        <v>285</v>
      </c>
      <c r="S69" s="183">
        <v>45170</v>
      </c>
      <c r="T69" s="168">
        <v>45260</v>
      </c>
      <c r="U69" s="169" t="s">
        <v>285</v>
      </c>
      <c r="V69" s="166" t="s">
        <v>389</v>
      </c>
      <c r="W69" s="213">
        <v>1</v>
      </c>
      <c r="X69" s="213">
        <f>W69</f>
        <v>1</v>
      </c>
      <c r="Y69" s="157" t="s">
        <v>385</v>
      </c>
    </row>
    <row r="70" spans="1:26" ht="30" customHeight="1" thickBot="1">
      <c r="A70" s="321"/>
      <c r="B70" s="141"/>
      <c r="C70" s="289"/>
      <c r="D70" s="141"/>
      <c r="E70" s="289"/>
      <c r="F70" s="48" t="s">
        <v>265</v>
      </c>
      <c r="G70" s="119"/>
      <c r="H70" s="372"/>
      <c r="I70" s="86">
        <v>5</v>
      </c>
      <c r="J70" s="399"/>
      <c r="K70" s="86">
        <v>5</v>
      </c>
      <c r="L70" s="205"/>
      <c r="M70" s="86">
        <v>5</v>
      </c>
      <c r="N70" s="119"/>
      <c r="O70" s="175"/>
      <c r="P70" s="175"/>
      <c r="Q70" s="175"/>
      <c r="R70" s="393"/>
      <c r="S70" s="215"/>
      <c r="T70" s="393"/>
      <c r="U70" s="393"/>
      <c r="V70" s="180"/>
      <c r="W70" s="214"/>
      <c r="X70" s="214"/>
      <c r="Y70" s="182"/>
    </row>
    <row r="71" spans="1:26" ht="29.25" customHeight="1">
      <c r="A71" s="319" t="s">
        <v>237</v>
      </c>
      <c r="B71" s="170" t="s">
        <v>227</v>
      </c>
      <c r="C71" s="288" t="s">
        <v>128</v>
      </c>
      <c r="D71" s="391" t="s">
        <v>229</v>
      </c>
      <c r="E71" s="288" t="s">
        <v>266</v>
      </c>
      <c r="F71" s="64" t="s">
        <v>267</v>
      </c>
      <c r="G71" s="334">
        <v>0.84830000000000005</v>
      </c>
      <c r="H71" s="342">
        <v>0.9</v>
      </c>
      <c r="I71" s="74" t="s">
        <v>455</v>
      </c>
      <c r="J71" s="192">
        <v>0.86729999999999996</v>
      </c>
      <c r="K71" s="74">
        <f>(708 - 49)</f>
        <v>659</v>
      </c>
      <c r="L71" s="192">
        <v>0.93</v>
      </c>
      <c r="M71" s="74">
        <v>671</v>
      </c>
      <c r="N71" s="192">
        <f>M71/M72</f>
        <v>0.9626972740315638</v>
      </c>
      <c r="O71" s="219">
        <f>J71</f>
        <v>0.86729999999999996</v>
      </c>
      <c r="P71" s="219">
        <f>L71</f>
        <v>0.93</v>
      </c>
      <c r="Q71" s="219">
        <f>N71</f>
        <v>0.9626972740315638</v>
      </c>
      <c r="R71" s="403" t="s">
        <v>390</v>
      </c>
      <c r="S71" s="171">
        <v>45017</v>
      </c>
      <c r="T71" s="171">
        <v>45169</v>
      </c>
      <c r="U71" s="189" t="s">
        <v>401</v>
      </c>
      <c r="V71" s="189" t="s">
        <v>401</v>
      </c>
      <c r="W71" s="164">
        <f>(O71+P71+Q71)/3</f>
        <v>0.9199990913438546</v>
      </c>
      <c r="X71" s="164">
        <f>W71</f>
        <v>0.9199990913438546</v>
      </c>
      <c r="Y71" s="185" t="s">
        <v>458</v>
      </c>
      <c r="Z71" s="401"/>
    </row>
    <row r="72" spans="1:26" ht="33" customHeight="1">
      <c r="A72" s="320"/>
      <c r="B72" s="140"/>
      <c r="C72" s="328"/>
      <c r="D72" s="172"/>
      <c r="E72" s="328"/>
      <c r="F72" s="29" t="s">
        <v>268</v>
      </c>
      <c r="G72" s="267"/>
      <c r="H72" s="268"/>
      <c r="I72" s="28">
        <v>701</v>
      </c>
      <c r="J72" s="118"/>
      <c r="K72" s="28">
        <v>708</v>
      </c>
      <c r="L72" s="118"/>
      <c r="M72" s="28">
        <v>697</v>
      </c>
      <c r="N72" s="118"/>
      <c r="O72" s="153"/>
      <c r="P72" s="153"/>
      <c r="Q72" s="153"/>
      <c r="R72" s="169"/>
      <c r="S72" s="173"/>
      <c r="T72" s="173"/>
      <c r="U72" s="138"/>
      <c r="V72" s="138"/>
      <c r="W72" s="156"/>
      <c r="X72" s="156"/>
      <c r="Y72" s="174"/>
      <c r="Z72" s="401"/>
    </row>
    <row r="73" spans="1:26" ht="37.5" customHeight="1">
      <c r="A73" s="320"/>
      <c r="B73" s="140"/>
      <c r="C73" s="140" t="s">
        <v>228</v>
      </c>
      <c r="D73" s="172" t="s">
        <v>229</v>
      </c>
      <c r="E73" s="328" t="s">
        <v>230</v>
      </c>
      <c r="F73" s="29" t="s">
        <v>233</v>
      </c>
      <c r="G73" s="187">
        <v>0.22900000000000001</v>
      </c>
      <c r="H73" s="268">
        <v>0.15</v>
      </c>
      <c r="I73" s="58" t="s">
        <v>281</v>
      </c>
      <c r="J73" s="268">
        <v>0.20799999999999999</v>
      </c>
      <c r="K73" s="35">
        <f>(4982402-3258041)</f>
        <v>1724361</v>
      </c>
      <c r="L73" s="118">
        <v>0.35</v>
      </c>
      <c r="M73" s="57">
        <v>4380068</v>
      </c>
      <c r="N73" s="149">
        <v>5.1999999999999998E-2</v>
      </c>
      <c r="O73" s="153">
        <f>J73</f>
        <v>0.20799999999999999</v>
      </c>
      <c r="P73" s="153">
        <f>L73</f>
        <v>0.35</v>
      </c>
      <c r="Q73" s="153">
        <f>N73</f>
        <v>5.1999999999999998E-2</v>
      </c>
      <c r="R73" s="140" t="s">
        <v>362</v>
      </c>
      <c r="S73" s="173">
        <v>45017</v>
      </c>
      <c r="T73" s="173">
        <v>45169</v>
      </c>
      <c r="U73" s="138" t="s">
        <v>402</v>
      </c>
      <c r="V73" s="165" t="s">
        <v>405</v>
      </c>
      <c r="W73" s="155">
        <f>P73</f>
        <v>0.35</v>
      </c>
      <c r="X73" s="155">
        <f>W73</f>
        <v>0.35</v>
      </c>
      <c r="Y73" s="142" t="s">
        <v>408</v>
      </c>
    </row>
    <row r="74" spans="1:26" ht="29.25" customHeight="1">
      <c r="A74" s="320"/>
      <c r="B74" s="140"/>
      <c r="C74" s="140"/>
      <c r="D74" s="172"/>
      <c r="E74" s="328"/>
      <c r="F74" s="29" t="s">
        <v>234</v>
      </c>
      <c r="G74" s="187"/>
      <c r="H74" s="268"/>
      <c r="I74" s="58">
        <v>4002943</v>
      </c>
      <c r="J74" s="268"/>
      <c r="K74" s="35">
        <v>4982402</v>
      </c>
      <c r="L74" s="118"/>
      <c r="M74" s="57">
        <v>4618850</v>
      </c>
      <c r="N74" s="149"/>
      <c r="O74" s="153"/>
      <c r="P74" s="153"/>
      <c r="Q74" s="153"/>
      <c r="R74" s="140"/>
      <c r="S74" s="173"/>
      <c r="T74" s="173"/>
      <c r="U74" s="138"/>
      <c r="V74" s="166"/>
      <c r="W74" s="156"/>
      <c r="X74" s="156"/>
      <c r="Y74" s="142"/>
    </row>
    <row r="75" spans="1:26" ht="26.25" customHeight="1">
      <c r="A75" s="320"/>
      <c r="B75" s="140"/>
      <c r="C75" s="140" t="s">
        <v>231</v>
      </c>
      <c r="D75" s="172" t="s">
        <v>229</v>
      </c>
      <c r="E75" s="328" t="s">
        <v>232</v>
      </c>
      <c r="F75" s="29" t="s">
        <v>235</v>
      </c>
      <c r="G75" s="267">
        <v>0.97950000000000004</v>
      </c>
      <c r="H75" s="267">
        <v>0.98360000000000003</v>
      </c>
      <c r="I75" s="58">
        <v>4419</v>
      </c>
      <c r="J75" s="268">
        <v>0.88890000000000002</v>
      </c>
      <c r="K75" s="35">
        <f>2952-51</f>
        <v>2901</v>
      </c>
      <c r="L75" s="149">
        <f>(2952-51)/2952</f>
        <v>0.98272357723577231</v>
      </c>
      <c r="M75" s="57">
        <v>2218</v>
      </c>
      <c r="N75" s="149">
        <v>0.75800000000000001</v>
      </c>
      <c r="O75" s="153">
        <f>J75</f>
        <v>0.88890000000000002</v>
      </c>
      <c r="P75" s="153">
        <f>L75</f>
        <v>0.98272357723577231</v>
      </c>
      <c r="Q75" s="153">
        <f>N75</f>
        <v>0.75800000000000001</v>
      </c>
      <c r="R75" s="140" t="s">
        <v>363</v>
      </c>
      <c r="S75" s="173">
        <v>45017</v>
      </c>
      <c r="T75" s="173">
        <v>45169</v>
      </c>
      <c r="U75" s="138" t="s">
        <v>403</v>
      </c>
      <c r="V75" s="140" t="s">
        <v>406</v>
      </c>
      <c r="W75" s="137">
        <f>(O75+P75+Q75)/3</f>
        <v>0.87654119241192419</v>
      </c>
      <c r="X75" s="137">
        <f>W75</f>
        <v>0.87654119241192419</v>
      </c>
      <c r="Y75" s="142" t="s">
        <v>408</v>
      </c>
    </row>
    <row r="76" spans="1:26" ht="30" customHeight="1">
      <c r="A76" s="320"/>
      <c r="B76" s="140"/>
      <c r="C76" s="140"/>
      <c r="D76" s="172"/>
      <c r="E76" s="328"/>
      <c r="F76" s="29" t="s">
        <v>236</v>
      </c>
      <c r="G76" s="267"/>
      <c r="H76" s="267"/>
      <c r="I76" s="58">
        <v>4968</v>
      </c>
      <c r="J76" s="268"/>
      <c r="K76" s="35">
        <v>2952</v>
      </c>
      <c r="L76" s="149"/>
      <c r="M76" s="91">
        <v>2928</v>
      </c>
      <c r="N76" s="276"/>
      <c r="O76" s="153"/>
      <c r="P76" s="153"/>
      <c r="Q76" s="153"/>
      <c r="R76" s="140"/>
      <c r="S76" s="173"/>
      <c r="T76" s="173"/>
      <c r="U76" s="138"/>
      <c r="V76" s="394"/>
      <c r="W76" s="137"/>
      <c r="X76" s="137"/>
      <c r="Y76" s="142"/>
    </row>
    <row r="77" spans="1:26" ht="33.75" customHeight="1">
      <c r="A77" s="320"/>
      <c r="B77" s="140" t="s">
        <v>150</v>
      </c>
      <c r="C77" s="140" t="s">
        <v>158</v>
      </c>
      <c r="D77" s="316" t="s">
        <v>22</v>
      </c>
      <c r="E77" s="318" t="s">
        <v>167</v>
      </c>
      <c r="F77" s="34" t="s">
        <v>168</v>
      </c>
      <c r="G77" s="267">
        <v>0.5333</v>
      </c>
      <c r="H77" s="112">
        <v>1</v>
      </c>
      <c r="I77" s="52">
        <v>2</v>
      </c>
      <c r="J77" s="268">
        <v>0.4</v>
      </c>
      <c r="K77" s="35">
        <v>10</v>
      </c>
      <c r="L77" s="274">
        <v>0.66</v>
      </c>
      <c r="M77" s="93">
        <v>8</v>
      </c>
      <c r="N77" s="309">
        <v>0.75</v>
      </c>
      <c r="O77" s="313">
        <f>J77</f>
        <v>0.4</v>
      </c>
      <c r="P77" s="153">
        <f>L77</f>
        <v>0.66</v>
      </c>
      <c r="Q77" s="153">
        <f>N77</f>
        <v>0.75</v>
      </c>
      <c r="R77" s="140" t="s">
        <v>364</v>
      </c>
      <c r="S77" s="173">
        <v>45017</v>
      </c>
      <c r="T77" s="173">
        <v>45169</v>
      </c>
      <c r="U77" s="138" t="s">
        <v>404</v>
      </c>
      <c r="V77" s="140" t="s">
        <v>407</v>
      </c>
      <c r="W77" s="137">
        <f>Q77</f>
        <v>0.75</v>
      </c>
      <c r="X77" s="137">
        <f>W77</f>
        <v>0.75</v>
      </c>
      <c r="Y77" s="142" t="s">
        <v>408</v>
      </c>
    </row>
    <row r="78" spans="1:26" ht="39.75" customHeight="1">
      <c r="A78" s="320"/>
      <c r="B78" s="140"/>
      <c r="C78" s="140"/>
      <c r="D78" s="316"/>
      <c r="E78" s="318"/>
      <c r="F78" s="34" t="s">
        <v>169</v>
      </c>
      <c r="G78" s="267"/>
      <c r="H78" s="112"/>
      <c r="I78" s="52">
        <v>5</v>
      </c>
      <c r="J78" s="268"/>
      <c r="K78" s="35">
        <v>15</v>
      </c>
      <c r="L78" s="274"/>
      <c r="M78" s="94">
        <v>8</v>
      </c>
      <c r="N78" s="309"/>
      <c r="O78" s="313"/>
      <c r="P78" s="153"/>
      <c r="Q78" s="153"/>
      <c r="R78" s="140"/>
      <c r="S78" s="173"/>
      <c r="T78" s="173"/>
      <c r="U78" s="138"/>
      <c r="V78" s="140"/>
      <c r="W78" s="137"/>
      <c r="X78" s="137"/>
      <c r="Y78" s="142"/>
    </row>
    <row r="79" spans="1:26" ht="32.25" customHeight="1">
      <c r="A79" s="320"/>
      <c r="B79" s="140"/>
      <c r="C79" s="140"/>
      <c r="D79" s="316"/>
      <c r="E79" s="318" t="s">
        <v>170</v>
      </c>
      <c r="F79" s="34" t="s">
        <v>171</v>
      </c>
      <c r="G79" s="267">
        <v>0.4667</v>
      </c>
      <c r="H79" s="112">
        <v>1</v>
      </c>
      <c r="I79" s="52">
        <v>2</v>
      </c>
      <c r="J79" s="268">
        <v>0.4</v>
      </c>
      <c r="K79" s="35">
        <v>6</v>
      </c>
      <c r="L79" s="274">
        <v>0.6</v>
      </c>
      <c r="M79" s="93">
        <v>5</v>
      </c>
      <c r="N79" s="309">
        <v>0.5</v>
      </c>
      <c r="O79" s="313">
        <f>J79</f>
        <v>0.4</v>
      </c>
      <c r="P79" s="153">
        <f>L79</f>
        <v>0.6</v>
      </c>
      <c r="Q79" s="153">
        <f t="shared" ref="Q79" si="3">N79</f>
        <v>0.5</v>
      </c>
      <c r="R79" s="140"/>
      <c r="S79" s="173">
        <v>45017</v>
      </c>
      <c r="T79" s="173">
        <v>45169</v>
      </c>
      <c r="U79" s="138"/>
      <c r="V79" s="140"/>
      <c r="W79" s="137">
        <f t="shared" ref="W79" si="4">Q79</f>
        <v>0.5</v>
      </c>
      <c r="X79" s="137">
        <f t="shared" ref="X79" si="5">W79</f>
        <v>0.5</v>
      </c>
      <c r="Y79" s="142"/>
    </row>
    <row r="80" spans="1:26" ht="36" customHeight="1">
      <c r="A80" s="320"/>
      <c r="B80" s="140"/>
      <c r="C80" s="140"/>
      <c r="D80" s="316"/>
      <c r="E80" s="318"/>
      <c r="F80" s="34" t="s">
        <v>172</v>
      </c>
      <c r="G80" s="267"/>
      <c r="H80" s="112"/>
      <c r="I80" s="52">
        <v>5</v>
      </c>
      <c r="J80" s="268"/>
      <c r="K80" s="35">
        <v>10</v>
      </c>
      <c r="L80" s="274"/>
      <c r="M80" s="94">
        <v>8</v>
      </c>
      <c r="N80" s="309"/>
      <c r="O80" s="313"/>
      <c r="P80" s="153"/>
      <c r="Q80" s="153"/>
      <c r="R80" s="140"/>
      <c r="S80" s="173"/>
      <c r="T80" s="173"/>
      <c r="U80" s="138"/>
      <c r="V80" s="140"/>
      <c r="W80" s="137"/>
      <c r="X80" s="137"/>
      <c r="Y80" s="142"/>
    </row>
    <row r="81" spans="1:25" ht="31.5" customHeight="1">
      <c r="A81" s="320"/>
      <c r="B81" s="140"/>
      <c r="C81" s="140"/>
      <c r="D81" s="316"/>
      <c r="E81" s="318" t="s">
        <v>173</v>
      </c>
      <c r="F81" s="34" t="s">
        <v>174</v>
      </c>
      <c r="G81" s="268">
        <v>0.5222</v>
      </c>
      <c r="H81" s="112">
        <v>1</v>
      </c>
      <c r="I81" s="52">
        <v>2</v>
      </c>
      <c r="J81" s="268">
        <v>0.4</v>
      </c>
      <c r="K81" s="35">
        <v>6</v>
      </c>
      <c r="L81" s="274">
        <v>0.4</v>
      </c>
      <c r="M81" s="93">
        <v>5</v>
      </c>
      <c r="N81" s="309">
        <v>0.37</v>
      </c>
      <c r="O81" s="313">
        <f>J81</f>
        <v>0.4</v>
      </c>
      <c r="P81" s="153">
        <f>L81</f>
        <v>0.4</v>
      </c>
      <c r="Q81" s="153">
        <f>N81</f>
        <v>0.37</v>
      </c>
      <c r="R81" s="140"/>
      <c r="S81" s="173">
        <v>45017</v>
      </c>
      <c r="T81" s="173">
        <v>45169</v>
      </c>
      <c r="U81" s="138"/>
      <c r="V81" s="140"/>
      <c r="W81" s="137">
        <f t="shared" ref="W81" si="6">Q81</f>
        <v>0.37</v>
      </c>
      <c r="X81" s="137">
        <f t="shared" ref="X81" si="7">W81</f>
        <v>0.37</v>
      </c>
      <c r="Y81" s="142"/>
    </row>
    <row r="82" spans="1:25" ht="42.75" customHeight="1" thickBot="1">
      <c r="A82" s="321"/>
      <c r="B82" s="141"/>
      <c r="C82" s="141"/>
      <c r="D82" s="317"/>
      <c r="E82" s="335"/>
      <c r="F82" s="56" t="s">
        <v>175</v>
      </c>
      <c r="G82" s="141"/>
      <c r="H82" s="184"/>
      <c r="I82" s="87">
        <v>5</v>
      </c>
      <c r="J82" s="372"/>
      <c r="K82" s="49">
        <v>15</v>
      </c>
      <c r="L82" s="275"/>
      <c r="M82" s="96">
        <v>8</v>
      </c>
      <c r="N82" s="312"/>
      <c r="O82" s="404"/>
      <c r="P82" s="175"/>
      <c r="Q82" s="175"/>
      <c r="R82" s="141"/>
      <c r="S82" s="216"/>
      <c r="T82" s="216"/>
      <c r="U82" s="139"/>
      <c r="V82" s="141"/>
      <c r="W82" s="137"/>
      <c r="X82" s="137"/>
      <c r="Y82" s="143"/>
    </row>
    <row r="83" spans="1:25" ht="25.5" customHeight="1">
      <c r="A83" s="340" t="s">
        <v>148</v>
      </c>
      <c r="B83" s="324" t="s">
        <v>123</v>
      </c>
      <c r="C83" s="327" t="s">
        <v>124</v>
      </c>
      <c r="D83" s="327" t="s">
        <v>22</v>
      </c>
      <c r="E83" s="395" t="s">
        <v>125</v>
      </c>
      <c r="F83" s="95" t="s">
        <v>126</v>
      </c>
      <c r="G83" s="396">
        <v>1</v>
      </c>
      <c r="H83" s="314">
        <v>1</v>
      </c>
      <c r="I83" s="92">
        <v>44602</v>
      </c>
      <c r="J83" s="271">
        <f>I83/I84</f>
        <v>1</v>
      </c>
      <c r="K83" s="92">
        <v>44785</v>
      </c>
      <c r="L83" s="271">
        <f>K83/K84</f>
        <v>1</v>
      </c>
      <c r="M83" s="92">
        <v>45321</v>
      </c>
      <c r="N83" s="271">
        <f>M83/M84</f>
        <v>1</v>
      </c>
      <c r="O83" s="150">
        <f>(+J83/H83)*33.33%</f>
        <v>0.33329999999999999</v>
      </c>
      <c r="P83" s="150">
        <f>(+L83/H83)*33.33%</f>
        <v>0.33329999999999999</v>
      </c>
      <c r="Q83" s="150">
        <f>(+N83/H83)*33.33%</f>
        <v>0.33329999999999999</v>
      </c>
      <c r="R83" s="400" t="s">
        <v>444</v>
      </c>
      <c r="S83" s="247">
        <v>45170</v>
      </c>
      <c r="T83" s="247">
        <v>45260</v>
      </c>
      <c r="U83" s="243" t="s">
        <v>409</v>
      </c>
      <c r="V83" s="243" t="s">
        <v>391</v>
      </c>
      <c r="W83" s="179">
        <f>O83+P83+Q83</f>
        <v>0.99990000000000001</v>
      </c>
      <c r="X83" s="179">
        <f>L83/H83</f>
        <v>1</v>
      </c>
      <c r="Y83" s="135" t="s">
        <v>410</v>
      </c>
    </row>
    <row r="84" spans="1:25" ht="19.5" customHeight="1">
      <c r="A84" s="320"/>
      <c r="B84" s="325"/>
      <c r="C84" s="316"/>
      <c r="D84" s="316"/>
      <c r="E84" s="322"/>
      <c r="F84" s="30" t="s">
        <v>127</v>
      </c>
      <c r="G84" s="118"/>
      <c r="H84" s="268"/>
      <c r="I84" s="28">
        <v>44602</v>
      </c>
      <c r="J84" s="153"/>
      <c r="K84" s="28">
        <v>44785</v>
      </c>
      <c r="L84" s="153"/>
      <c r="M84" s="28">
        <v>45321</v>
      </c>
      <c r="N84" s="153"/>
      <c r="O84" s="146"/>
      <c r="P84" s="146"/>
      <c r="Q84" s="146"/>
      <c r="R84" s="112"/>
      <c r="S84" s="100"/>
      <c r="T84" s="100"/>
      <c r="U84" s="103"/>
      <c r="V84" s="103"/>
      <c r="W84" s="99"/>
      <c r="X84" s="99"/>
      <c r="Y84" s="101"/>
    </row>
    <row r="85" spans="1:25" ht="12.75" customHeight="1">
      <c r="A85" s="320"/>
      <c r="B85" s="325"/>
      <c r="C85" s="316" t="s">
        <v>128</v>
      </c>
      <c r="D85" s="316" t="s">
        <v>75</v>
      </c>
      <c r="E85" s="344" t="s">
        <v>129</v>
      </c>
      <c r="F85" s="316" t="s">
        <v>226</v>
      </c>
      <c r="G85" s="330">
        <v>2.89</v>
      </c>
      <c r="H85" s="268" t="s">
        <v>269</v>
      </c>
      <c r="I85" s="9">
        <v>27.02</v>
      </c>
      <c r="J85" s="151">
        <f>I85/I86</f>
        <v>3.0022222222222221</v>
      </c>
      <c r="K85" s="28">
        <v>54.38</v>
      </c>
      <c r="L85" s="151">
        <f>K85/K86</f>
        <v>6.0422222222222226</v>
      </c>
      <c r="M85" s="28">
        <v>21.96</v>
      </c>
      <c r="N85" s="151">
        <f>M85/M86</f>
        <v>2.44</v>
      </c>
      <c r="O85" s="152">
        <f>J85</f>
        <v>3.0022222222222221</v>
      </c>
      <c r="P85" s="272">
        <f>L85</f>
        <v>6.0422222222222226</v>
      </c>
      <c r="Q85" s="152">
        <f>N85</f>
        <v>2.44</v>
      </c>
      <c r="R85" s="112" t="s">
        <v>445</v>
      </c>
      <c r="S85" s="210">
        <v>45170</v>
      </c>
      <c r="T85" s="210">
        <v>45260</v>
      </c>
      <c r="U85" s="103" t="s">
        <v>411</v>
      </c>
      <c r="V85" s="103" t="s">
        <v>392</v>
      </c>
      <c r="W85" s="136">
        <v>3.8300000000000001E-2</v>
      </c>
      <c r="X85" s="99">
        <v>1</v>
      </c>
      <c r="Y85" s="101" t="s">
        <v>412</v>
      </c>
    </row>
    <row r="86" spans="1:25" ht="18" customHeight="1">
      <c r="A86" s="320"/>
      <c r="B86" s="325"/>
      <c r="C86" s="316"/>
      <c r="D86" s="316"/>
      <c r="E86" s="344"/>
      <c r="F86" s="316"/>
      <c r="G86" s="330"/>
      <c r="H86" s="268"/>
      <c r="I86" s="28">
        <v>9</v>
      </c>
      <c r="J86" s="151"/>
      <c r="K86" s="28">
        <v>9</v>
      </c>
      <c r="L86" s="151"/>
      <c r="M86" s="28">
        <v>9</v>
      </c>
      <c r="N86" s="151"/>
      <c r="O86" s="152"/>
      <c r="P86" s="272"/>
      <c r="Q86" s="152"/>
      <c r="R86" s="112"/>
      <c r="S86" s="100"/>
      <c r="T86" s="100"/>
      <c r="U86" s="103"/>
      <c r="V86" s="103"/>
      <c r="W86" s="136"/>
      <c r="X86" s="99"/>
      <c r="Y86" s="101"/>
    </row>
    <row r="87" spans="1:25" ht="30" customHeight="1">
      <c r="A87" s="320"/>
      <c r="B87" s="325"/>
      <c r="C87" s="140" t="s">
        <v>130</v>
      </c>
      <c r="D87" s="316" t="s">
        <v>22</v>
      </c>
      <c r="E87" s="322" t="s">
        <v>131</v>
      </c>
      <c r="F87" s="30" t="s">
        <v>132</v>
      </c>
      <c r="G87" s="149">
        <v>0.97950000000000004</v>
      </c>
      <c r="H87" s="267">
        <v>0.98360000000000003</v>
      </c>
      <c r="I87" s="28">
        <v>23.55</v>
      </c>
      <c r="J87" s="136">
        <f>I87/I88</f>
        <v>0.98125000000000007</v>
      </c>
      <c r="K87" s="9">
        <v>23.58</v>
      </c>
      <c r="L87" s="136">
        <f>K87/K88</f>
        <v>0.98249999999999993</v>
      </c>
      <c r="M87" s="9">
        <v>23.45</v>
      </c>
      <c r="N87" s="136">
        <f>M87/M88</f>
        <v>0.9770833333333333</v>
      </c>
      <c r="O87" s="146">
        <f>J87</f>
        <v>0.98125000000000007</v>
      </c>
      <c r="P87" s="146">
        <f>L87</f>
        <v>0.98249999999999993</v>
      </c>
      <c r="Q87" s="146">
        <f>N87</f>
        <v>0.9770833333333333</v>
      </c>
      <c r="R87" s="112" t="s">
        <v>446</v>
      </c>
      <c r="S87" s="210">
        <v>45170</v>
      </c>
      <c r="T87" s="210">
        <v>45260</v>
      </c>
      <c r="U87" s="103" t="s">
        <v>413</v>
      </c>
      <c r="V87" s="103" t="s">
        <v>393</v>
      </c>
      <c r="W87" s="102">
        <f>(O87+P87+Q87)/3</f>
        <v>0.9802777777777778</v>
      </c>
      <c r="X87" s="144">
        <v>99.66</v>
      </c>
      <c r="Y87" s="101" t="s">
        <v>414</v>
      </c>
    </row>
    <row r="88" spans="1:25" ht="17.25" customHeight="1">
      <c r="A88" s="320"/>
      <c r="B88" s="325"/>
      <c r="C88" s="140"/>
      <c r="D88" s="316"/>
      <c r="E88" s="322"/>
      <c r="F88" s="30">
        <v>24</v>
      </c>
      <c r="G88" s="149"/>
      <c r="H88" s="267"/>
      <c r="I88" s="28">
        <v>24</v>
      </c>
      <c r="J88" s="136"/>
      <c r="K88" s="28">
        <v>24</v>
      </c>
      <c r="L88" s="136"/>
      <c r="M88" s="28">
        <v>24</v>
      </c>
      <c r="N88" s="136"/>
      <c r="O88" s="146"/>
      <c r="P88" s="146"/>
      <c r="Q88" s="146"/>
      <c r="R88" s="112"/>
      <c r="S88" s="100"/>
      <c r="T88" s="100"/>
      <c r="U88" s="103"/>
      <c r="V88" s="103"/>
      <c r="W88" s="102"/>
      <c r="X88" s="106"/>
      <c r="Y88" s="101"/>
    </row>
    <row r="89" spans="1:25" ht="21.75" customHeight="1">
      <c r="A89" s="320"/>
      <c r="B89" s="325"/>
      <c r="C89" s="140" t="s">
        <v>133</v>
      </c>
      <c r="D89" s="316" t="s">
        <v>22</v>
      </c>
      <c r="E89" s="322" t="s">
        <v>134</v>
      </c>
      <c r="F89" s="30" t="s">
        <v>135</v>
      </c>
      <c r="G89" s="187">
        <v>0.32400000000000001</v>
      </c>
      <c r="H89" s="118">
        <v>1</v>
      </c>
      <c r="I89" s="43">
        <v>2118476</v>
      </c>
      <c r="J89" s="136">
        <f>((I90-I89)/I90)</f>
        <v>0.34453238399778685</v>
      </c>
      <c r="K89" s="28">
        <v>2084143</v>
      </c>
      <c r="L89" s="136">
        <f>((K90-K89))/K90</f>
        <v>0.35029040088758456</v>
      </c>
      <c r="M89" s="38">
        <v>1589254</v>
      </c>
      <c r="N89" s="136">
        <f>((M90-M89))/M90</f>
        <v>0.34810052332311409</v>
      </c>
      <c r="O89" s="146">
        <f>IF(J89&lt;=H89,33.33%,(H89/J89)*33.33%)</f>
        <v>0.33329999999999999</v>
      </c>
      <c r="P89" s="146">
        <f>IF(L89&lt;=H89,33.33%,(H89/L89)*33.33%)</f>
        <v>0.33329999999999999</v>
      </c>
      <c r="Q89" s="146">
        <f>IF(N89&lt;=H89,33.33%,(H89/N89)*33.33%)</f>
        <v>0.33329999999999999</v>
      </c>
      <c r="R89" s="112" t="s">
        <v>447</v>
      </c>
      <c r="S89" s="210">
        <v>45170</v>
      </c>
      <c r="T89" s="210">
        <v>45260</v>
      </c>
      <c r="U89" s="103" t="s">
        <v>415</v>
      </c>
      <c r="V89" s="103" t="s">
        <v>394</v>
      </c>
      <c r="W89" s="99">
        <v>1</v>
      </c>
      <c r="X89" s="99">
        <f>W89/H89</f>
        <v>1</v>
      </c>
      <c r="Y89" s="101" t="s">
        <v>416</v>
      </c>
    </row>
    <row r="90" spans="1:25" ht="20.25" customHeight="1">
      <c r="A90" s="320"/>
      <c r="B90" s="325"/>
      <c r="C90" s="140"/>
      <c r="D90" s="316"/>
      <c r="E90" s="322"/>
      <c r="F90" s="30" t="s">
        <v>136</v>
      </c>
      <c r="G90" s="187"/>
      <c r="H90" s="118"/>
      <c r="I90" s="38">
        <v>3232007.1171797556</v>
      </c>
      <c r="J90" s="136"/>
      <c r="K90" s="38">
        <v>3207807</v>
      </c>
      <c r="L90" s="136"/>
      <c r="M90" s="38">
        <v>2437882</v>
      </c>
      <c r="N90" s="136"/>
      <c r="O90" s="146"/>
      <c r="P90" s="146"/>
      <c r="Q90" s="146"/>
      <c r="R90" s="112"/>
      <c r="S90" s="100"/>
      <c r="T90" s="100"/>
      <c r="U90" s="103"/>
      <c r="V90" s="103"/>
      <c r="W90" s="99"/>
      <c r="X90" s="99"/>
      <c r="Y90" s="101"/>
    </row>
    <row r="91" spans="1:25" ht="28.5" customHeight="1">
      <c r="A91" s="320"/>
      <c r="B91" s="325"/>
      <c r="C91" s="316" t="s">
        <v>137</v>
      </c>
      <c r="D91" s="316" t="s">
        <v>79</v>
      </c>
      <c r="E91" s="344" t="s">
        <v>138</v>
      </c>
      <c r="F91" s="30" t="s">
        <v>139</v>
      </c>
      <c r="G91" s="330">
        <v>0.18</v>
      </c>
      <c r="H91" s="330">
        <v>0.14000000000000001</v>
      </c>
      <c r="I91" s="28">
        <v>107</v>
      </c>
      <c r="J91" s="136">
        <f>I91/I92</f>
        <v>2.3989955607371868E-3</v>
      </c>
      <c r="K91" s="28">
        <v>118</v>
      </c>
      <c r="L91" s="136">
        <f>K91/K92</f>
        <v>2.6348107625320978E-3</v>
      </c>
      <c r="M91" s="28">
        <v>43</v>
      </c>
      <c r="N91" s="136">
        <f>M91/M92</f>
        <v>9.4878753778601535E-4</v>
      </c>
      <c r="O91" s="146">
        <f>J91</f>
        <v>2.3989955607371868E-3</v>
      </c>
      <c r="P91" s="146">
        <f>L91</f>
        <v>2.6348107625320978E-3</v>
      </c>
      <c r="Q91" s="146">
        <f>N91</f>
        <v>9.4878753778601535E-4</v>
      </c>
      <c r="R91" s="112" t="s">
        <v>448</v>
      </c>
      <c r="S91" s="210">
        <v>45170</v>
      </c>
      <c r="T91" s="210">
        <v>45260</v>
      </c>
      <c r="U91" s="103" t="s">
        <v>417</v>
      </c>
      <c r="V91" s="103" t="s">
        <v>395</v>
      </c>
      <c r="W91" s="99">
        <v>0.73</v>
      </c>
      <c r="X91" s="99">
        <v>0.73</v>
      </c>
      <c r="Y91" s="101" t="s">
        <v>418</v>
      </c>
    </row>
    <row r="92" spans="1:25" ht="25.5" customHeight="1">
      <c r="A92" s="320"/>
      <c r="B92" s="325"/>
      <c r="C92" s="316"/>
      <c r="D92" s="316"/>
      <c r="E92" s="344"/>
      <c r="F92" s="30" t="s">
        <v>140</v>
      </c>
      <c r="G92" s="330"/>
      <c r="H92" s="330"/>
      <c r="I92" s="28">
        <f>I83</f>
        <v>44602</v>
      </c>
      <c r="J92" s="136"/>
      <c r="K92" s="28">
        <f>K83</f>
        <v>44785</v>
      </c>
      <c r="L92" s="136"/>
      <c r="M92" s="28">
        <v>45321</v>
      </c>
      <c r="N92" s="136"/>
      <c r="O92" s="146"/>
      <c r="P92" s="146"/>
      <c r="Q92" s="146"/>
      <c r="R92" s="112"/>
      <c r="S92" s="100"/>
      <c r="T92" s="100"/>
      <c r="U92" s="103"/>
      <c r="V92" s="103"/>
      <c r="W92" s="99"/>
      <c r="X92" s="99"/>
      <c r="Y92" s="101"/>
    </row>
    <row r="93" spans="1:25" ht="28.5" customHeight="1">
      <c r="A93" s="320"/>
      <c r="B93" s="325"/>
      <c r="C93" s="316" t="s">
        <v>141</v>
      </c>
      <c r="D93" s="316" t="s">
        <v>75</v>
      </c>
      <c r="E93" s="328" t="s">
        <v>246</v>
      </c>
      <c r="F93" s="30" t="s">
        <v>142</v>
      </c>
      <c r="G93" s="112">
        <v>1</v>
      </c>
      <c r="H93" s="264">
        <v>1</v>
      </c>
      <c r="I93" s="28">
        <v>606</v>
      </c>
      <c r="J93" s="153">
        <f>I93/I94</f>
        <v>1</v>
      </c>
      <c r="K93" s="28">
        <v>554</v>
      </c>
      <c r="L93" s="153">
        <f>K93/K94</f>
        <v>1</v>
      </c>
      <c r="M93" s="28">
        <v>553</v>
      </c>
      <c r="N93" s="153">
        <f>M93/M94</f>
        <v>1</v>
      </c>
      <c r="O93" s="146">
        <f>J93</f>
        <v>1</v>
      </c>
      <c r="P93" s="146">
        <f>L93</f>
        <v>1</v>
      </c>
      <c r="Q93" s="146">
        <f>(+N93/H93)*33.33%</f>
        <v>0.33329999999999999</v>
      </c>
      <c r="R93" s="112" t="s">
        <v>449</v>
      </c>
      <c r="S93" s="210">
        <v>45170</v>
      </c>
      <c r="T93" s="210">
        <v>45260</v>
      </c>
      <c r="U93" s="103" t="s">
        <v>419</v>
      </c>
      <c r="V93" s="112" t="s">
        <v>396</v>
      </c>
      <c r="W93" s="99">
        <v>1</v>
      </c>
      <c r="X93" s="99">
        <f>W93/H93</f>
        <v>1</v>
      </c>
      <c r="Y93" s="101" t="s">
        <v>420</v>
      </c>
    </row>
    <row r="94" spans="1:25" ht="15" customHeight="1">
      <c r="A94" s="320"/>
      <c r="B94" s="325"/>
      <c r="C94" s="316"/>
      <c r="D94" s="316"/>
      <c r="E94" s="328"/>
      <c r="F94" s="30" t="s">
        <v>143</v>
      </c>
      <c r="G94" s="112"/>
      <c r="H94" s="264"/>
      <c r="I94" s="28">
        <v>606</v>
      </c>
      <c r="J94" s="153"/>
      <c r="K94" s="28">
        <v>554</v>
      </c>
      <c r="L94" s="153"/>
      <c r="M94" s="28">
        <v>553</v>
      </c>
      <c r="N94" s="153"/>
      <c r="O94" s="146"/>
      <c r="P94" s="146"/>
      <c r="Q94" s="146"/>
      <c r="R94" s="112"/>
      <c r="S94" s="100"/>
      <c r="T94" s="100"/>
      <c r="U94" s="103"/>
      <c r="V94" s="112"/>
      <c r="W94" s="99"/>
      <c r="X94" s="99"/>
      <c r="Y94" s="101"/>
    </row>
    <row r="95" spans="1:25" ht="24.75" customHeight="1">
      <c r="A95" s="320"/>
      <c r="B95" s="325"/>
      <c r="C95" s="316" t="s">
        <v>144</v>
      </c>
      <c r="D95" s="316" t="s">
        <v>22</v>
      </c>
      <c r="E95" s="322" t="s">
        <v>145</v>
      </c>
      <c r="F95" s="30" t="s">
        <v>146</v>
      </c>
      <c r="G95" s="364">
        <f>43+4146+8650</f>
        <v>12839</v>
      </c>
      <c r="H95" s="265" t="s">
        <v>454</v>
      </c>
      <c r="I95" s="28">
        <v>0</v>
      </c>
      <c r="J95" s="177">
        <v>0</v>
      </c>
      <c r="K95" s="9">
        <v>1262.4000000000001</v>
      </c>
      <c r="L95" s="177">
        <f>K95/K96</f>
        <v>1</v>
      </c>
      <c r="M95" s="28">
        <v>573.44000000000005</v>
      </c>
      <c r="N95" s="177">
        <f>M95/M96</f>
        <v>1</v>
      </c>
      <c r="O95" s="238">
        <v>1</v>
      </c>
      <c r="P95" s="238">
        <f>L95</f>
        <v>1</v>
      </c>
      <c r="Q95" s="162">
        <v>1</v>
      </c>
      <c r="R95" s="112" t="s">
        <v>450</v>
      </c>
      <c r="S95" s="210">
        <v>45170</v>
      </c>
      <c r="T95" s="210">
        <v>45260</v>
      </c>
      <c r="U95" s="126" t="s">
        <v>421</v>
      </c>
      <c r="V95" s="104" t="s">
        <v>397</v>
      </c>
      <c r="W95" s="99">
        <v>1</v>
      </c>
      <c r="X95" s="99">
        <v>1</v>
      </c>
      <c r="Y95" s="101" t="s">
        <v>456</v>
      </c>
    </row>
    <row r="96" spans="1:25" ht="36" customHeight="1" thickBot="1">
      <c r="A96" s="321"/>
      <c r="B96" s="326"/>
      <c r="C96" s="317"/>
      <c r="D96" s="317"/>
      <c r="E96" s="323"/>
      <c r="F96" s="73" t="s">
        <v>147</v>
      </c>
      <c r="G96" s="364"/>
      <c r="H96" s="266"/>
      <c r="I96" s="67">
        <v>0</v>
      </c>
      <c r="J96" s="242"/>
      <c r="K96" s="88">
        <v>1262.4000000000001</v>
      </c>
      <c r="L96" s="242"/>
      <c r="M96" s="67">
        <v>573.44000000000005</v>
      </c>
      <c r="N96" s="242"/>
      <c r="O96" s="239"/>
      <c r="P96" s="239"/>
      <c r="Q96" s="215"/>
      <c r="R96" s="184"/>
      <c r="S96" s="113"/>
      <c r="T96" s="113"/>
      <c r="U96" s="127"/>
      <c r="V96" s="131"/>
      <c r="W96" s="132"/>
      <c r="X96" s="132"/>
      <c r="Y96" s="129"/>
    </row>
    <row r="97" spans="1:25" ht="29.25" customHeight="1">
      <c r="A97" s="319" t="s">
        <v>149</v>
      </c>
      <c r="B97" s="332" t="s">
        <v>150</v>
      </c>
      <c r="C97" s="329" t="s">
        <v>151</v>
      </c>
      <c r="D97" s="329" t="s">
        <v>22</v>
      </c>
      <c r="E97" s="333" t="s">
        <v>152</v>
      </c>
      <c r="F97" s="89" t="s">
        <v>153</v>
      </c>
      <c r="G97" s="342">
        <v>0.96789999999999998</v>
      </c>
      <c r="H97" s="130">
        <v>1</v>
      </c>
      <c r="I97" s="74">
        <v>42126</v>
      </c>
      <c r="J97" s="148">
        <f>I97/I98</f>
        <v>0.94448679431415627</v>
      </c>
      <c r="K97" s="74">
        <v>42609</v>
      </c>
      <c r="L97" s="148">
        <f>K97/K98</f>
        <v>0.9514123032265267</v>
      </c>
      <c r="M97" s="74">
        <v>42799</v>
      </c>
      <c r="N97" s="148">
        <f>M97/M98</f>
        <v>0.94435250766752721</v>
      </c>
      <c r="O97" s="154">
        <f>(J97/H97)*33.33%</f>
        <v>0.31479744854490826</v>
      </c>
      <c r="P97" s="154">
        <f>(L97/H97)*33.33%</f>
        <v>0.31710572066540132</v>
      </c>
      <c r="Q97" s="154">
        <f>(N97/H97)*33.33%</f>
        <v>0.31475269080558682</v>
      </c>
      <c r="R97" s="130" t="s">
        <v>451</v>
      </c>
      <c r="S97" s="240">
        <v>45170</v>
      </c>
      <c r="T97" s="240">
        <v>45260</v>
      </c>
      <c r="U97" s="133" t="s">
        <v>423</v>
      </c>
      <c r="V97" s="130" t="s">
        <v>391</v>
      </c>
      <c r="W97" s="134">
        <f>O97+P97+Q97</f>
        <v>0.94665586001589652</v>
      </c>
      <c r="X97" s="134">
        <f>W97/H97</f>
        <v>0.94665586001589652</v>
      </c>
      <c r="Y97" s="125" t="s">
        <v>424</v>
      </c>
    </row>
    <row r="98" spans="1:25" ht="21.75" customHeight="1">
      <c r="A98" s="320"/>
      <c r="B98" s="325"/>
      <c r="C98" s="316"/>
      <c r="D98" s="316"/>
      <c r="E98" s="318"/>
      <c r="F98" s="34" t="s">
        <v>154</v>
      </c>
      <c r="G98" s="268"/>
      <c r="H98" s="112"/>
      <c r="I98" s="28">
        <f>I84</f>
        <v>44602</v>
      </c>
      <c r="J98" s="136"/>
      <c r="K98" s="28">
        <f>K84</f>
        <v>44785</v>
      </c>
      <c r="L98" s="136"/>
      <c r="M98" s="28">
        <v>45321</v>
      </c>
      <c r="N98" s="136"/>
      <c r="O98" s="146"/>
      <c r="P98" s="146"/>
      <c r="Q98" s="146"/>
      <c r="R98" s="112"/>
      <c r="S98" s="100"/>
      <c r="T98" s="100"/>
      <c r="U98" s="103"/>
      <c r="V98" s="112"/>
      <c r="W98" s="100"/>
      <c r="X98" s="100"/>
      <c r="Y98" s="101"/>
    </row>
    <row r="99" spans="1:25" ht="29.25" customHeight="1">
      <c r="A99" s="320"/>
      <c r="B99" s="325"/>
      <c r="C99" s="316" t="s">
        <v>155</v>
      </c>
      <c r="D99" s="316" t="s">
        <v>22</v>
      </c>
      <c r="E99" s="318" t="s">
        <v>156</v>
      </c>
      <c r="F99" s="166" t="s">
        <v>157</v>
      </c>
      <c r="G99" s="187">
        <v>1.0999999999999999E-2</v>
      </c>
      <c r="H99" s="257">
        <v>0.01</v>
      </c>
      <c r="I99" s="23">
        <v>1</v>
      </c>
      <c r="J99" s="149">
        <f>I99-I100</f>
        <v>2.2800000000000042E-2</v>
      </c>
      <c r="K99" s="23">
        <v>1</v>
      </c>
      <c r="L99" s="149">
        <f>K99-K100</f>
        <v>8.80000000000003E-3</v>
      </c>
      <c r="M99" s="26">
        <v>1</v>
      </c>
      <c r="N99" s="149">
        <f>M99-M100</f>
        <v>8.700000000000041E-3</v>
      </c>
      <c r="O99" s="146">
        <f>J99</f>
        <v>2.2800000000000042E-2</v>
      </c>
      <c r="P99" s="146">
        <f>L99</f>
        <v>8.80000000000003E-3</v>
      </c>
      <c r="Q99" s="146">
        <f>N99</f>
        <v>8.700000000000041E-3</v>
      </c>
      <c r="R99" s="112" t="s">
        <v>452</v>
      </c>
      <c r="S99" s="210">
        <v>45170</v>
      </c>
      <c r="T99" s="210">
        <v>45260</v>
      </c>
      <c r="U99" s="103" t="s">
        <v>425</v>
      </c>
      <c r="V99" s="112" t="s">
        <v>391</v>
      </c>
      <c r="W99" s="102">
        <f>Q99</f>
        <v>8.700000000000041E-3</v>
      </c>
      <c r="X99" s="105">
        <v>1</v>
      </c>
      <c r="Y99" s="101" t="s">
        <v>424</v>
      </c>
    </row>
    <row r="100" spans="1:25" ht="24.75" customHeight="1">
      <c r="A100" s="320"/>
      <c r="B100" s="325"/>
      <c r="C100" s="316"/>
      <c r="D100" s="316"/>
      <c r="E100" s="318"/>
      <c r="F100" s="166"/>
      <c r="G100" s="187"/>
      <c r="H100" s="257"/>
      <c r="I100" s="42">
        <v>0.97719999999999996</v>
      </c>
      <c r="J100" s="149"/>
      <c r="K100" s="42">
        <v>0.99119999999999997</v>
      </c>
      <c r="L100" s="149"/>
      <c r="M100" s="26">
        <v>0.99129999999999996</v>
      </c>
      <c r="N100" s="149"/>
      <c r="O100" s="146"/>
      <c r="P100" s="146"/>
      <c r="Q100" s="146"/>
      <c r="R100" s="112"/>
      <c r="S100" s="100"/>
      <c r="T100" s="100"/>
      <c r="U100" s="103"/>
      <c r="V100" s="112"/>
      <c r="W100" s="102"/>
      <c r="X100" s="106"/>
      <c r="Y100" s="101"/>
    </row>
    <row r="101" spans="1:25" ht="22.5" customHeight="1">
      <c r="A101" s="320"/>
      <c r="B101" s="325"/>
      <c r="C101" s="316" t="s">
        <v>158</v>
      </c>
      <c r="D101" s="316" t="s">
        <v>22</v>
      </c>
      <c r="E101" s="318" t="s">
        <v>145</v>
      </c>
      <c r="F101" s="34" t="s">
        <v>159</v>
      </c>
      <c r="G101" s="260">
        <f>602.4+4715+5294</f>
        <v>10611.4</v>
      </c>
      <c r="H101" s="260">
        <f>12412-10611</f>
        <v>1801</v>
      </c>
      <c r="I101" s="28">
        <v>0</v>
      </c>
      <c r="J101" s="136">
        <f>I101/I102</f>
        <v>0</v>
      </c>
      <c r="K101" s="28">
        <v>115.8</v>
      </c>
      <c r="L101" s="136">
        <f>K101/K102</f>
        <v>0.11242718446601942</v>
      </c>
      <c r="M101" s="28">
        <v>917.24</v>
      </c>
      <c r="N101" s="136">
        <f>M101/M102</f>
        <v>0.89052427184466021</v>
      </c>
      <c r="O101" s="146">
        <f>(J101/H101)*33.33%</f>
        <v>0</v>
      </c>
      <c r="P101" s="146">
        <f>L101</f>
        <v>0.11242718446601942</v>
      </c>
      <c r="Q101" s="146">
        <f>N101</f>
        <v>0.89052427184466021</v>
      </c>
      <c r="R101" s="112" t="s">
        <v>450</v>
      </c>
      <c r="S101" s="210">
        <v>45170</v>
      </c>
      <c r="T101" s="210">
        <v>45260</v>
      </c>
      <c r="U101" s="103" t="s">
        <v>426</v>
      </c>
      <c r="V101" s="104" t="s">
        <v>397</v>
      </c>
      <c r="W101" s="99">
        <f>O101+P101+Q101</f>
        <v>1.0029514563106796</v>
      </c>
      <c r="X101" s="99">
        <f>W101</f>
        <v>1.0029514563106796</v>
      </c>
      <c r="Y101" s="101" t="s">
        <v>422</v>
      </c>
    </row>
    <row r="102" spans="1:25" ht="36" customHeight="1">
      <c r="A102" s="320"/>
      <c r="B102" s="325"/>
      <c r="C102" s="316"/>
      <c r="D102" s="316"/>
      <c r="E102" s="318"/>
      <c r="F102" s="34" t="s">
        <v>160</v>
      </c>
      <c r="G102" s="261"/>
      <c r="H102" s="261"/>
      <c r="I102" s="28">
        <v>1030</v>
      </c>
      <c r="J102" s="136"/>
      <c r="K102" s="28">
        <v>1030</v>
      </c>
      <c r="L102" s="136"/>
      <c r="M102" s="28">
        <v>1030</v>
      </c>
      <c r="N102" s="136"/>
      <c r="O102" s="146"/>
      <c r="P102" s="146"/>
      <c r="Q102" s="146"/>
      <c r="R102" s="112"/>
      <c r="S102" s="100"/>
      <c r="T102" s="100"/>
      <c r="U102" s="103"/>
      <c r="V102" s="104"/>
      <c r="W102" s="100"/>
      <c r="X102" s="100"/>
      <c r="Y102" s="101"/>
    </row>
    <row r="103" spans="1:25" ht="21" customHeight="1">
      <c r="A103" s="320"/>
      <c r="B103" s="325"/>
      <c r="C103" s="316"/>
      <c r="D103" s="316" t="s">
        <v>22</v>
      </c>
      <c r="E103" s="318" t="s">
        <v>161</v>
      </c>
      <c r="F103" s="34" t="s">
        <v>162</v>
      </c>
      <c r="G103" s="260">
        <v>4.5</v>
      </c>
      <c r="H103" s="262">
        <v>12512</v>
      </c>
      <c r="I103" s="28">
        <v>90</v>
      </c>
      <c r="J103" s="136">
        <f>I103/I104</f>
        <v>8.1227436823104696E-2</v>
      </c>
      <c r="K103" s="28">
        <v>42</v>
      </c>
      <c r="L103" s="136">
        <f>K103/K104</f>
        <v>3.7906137184115521E-2</v>
      </c>
      <c r="M103" s="28">
        <v>0</v>
      </c>
      <c r="N103" s="136">
        <f>M103/M104</f>
        <v>0</v>
      </c>
      <c r="O103" s="146">
        <f>(J103/H103)*33.33%</f>
        <v>2.163771155142327E-6</v>
      </c>
      <c r="P103" s="146">
        <f>(L103/H103)*33.33%</f>
        <v>1.0097598723997523E-6</v>
      </c>
      <c r="Q103" s="146">
        <f>(N103/H103)*33.33%</f>
        <v>0</v>
      </c>
      <c r="R103" s="112" t="s">
        <v>450</v>
      </c>
      <c r="S103" s="210">
        <v>45170</v>
      </c>
      <c r="T103" s="210">
        <v>45260</v>
      </c>
      <c r="U103" s="103" t="s">
        <v>398</v>
      </c>
      <c r="V103" s="112" t="s">
        <v>398</v>
      </c>
      <c r="W103" s="99">
        <f>(132)/H103</f>
        <v>1.0549872122762148E-2</v>
      </c>
      <c r="X103" s="99">
        <f>W103</f>
        <v>1.0549872122762148E-2</v>
      </c>
      <c r="Y103" s="101" t="s">
        <v>427</v>
      </c>
    </row>
    <row r="104" spans="1:25" ht="33" customHeight="1">
      <c r="A104" s="320"/>
      <c r="B104" s="325"/>
      <c r="C104" s="316"/>
      <c r="D104" s="316"/>
      <c r="E104" s="318"/>
      <c r="F104" s="34" t="s">
        <v>163</v>
      </c>
      <c r="G104" s="261"/>
      <c r="H104" s="263"/>
      <c r="I104" s="28">
        <v>1108</v>
      </c>
      <c r="J104" s="136"/>
      <c r="K104" s="28">
        <v>1108</v>
      </c>
      <c r="L104" s="136"/>
      <c r="M104" s="28">
        <v>1108</v>
      </c>
      <c r="N104" s="136"/>
      <c r="O104" s="146"/>
      <c r="P104" s="146"/>
      <c r="Q104" s="146"/>
      <c r="R104" s="112"/>
      <c r="S104" s="100"/>
      <c r="T104" s="100"/>
      <c r="U104" s="103"/>
      <c r="V104" s="112"/>
      <c r="W104" s="100"/>
      <c r="X104" s="100"/>
      <c r="Y104" s="101"/>
    </row>
    <row r="105" spans="1:25" ht="21.75" customHeight="1">
      <c r="A105" s="320"/>
      <c r="B105" s="325"/>
      <c r="C105" s="316"/>
      <c r="D105" s="316" t="s">
        <v>22</v>
      </c>
      <c r="E105" s="318" t="s">
        <v>164</v>
      </c>
      <c r="F105" s="34" t="s">
        <v>165</v>
      </c>
      <c r="G105" s="260">
        <v>12</v>
      </c>
      <c r="H105" s="260">
        <v>85</v>
      </c>
      <c r="I105" s="28">
        <v>0</v>
      </c>
      <c r="J105" s="136">
        <f>I105/I106</f>
        <v>0</v>
      </c>
      <c r="K105" s="28">
        <v>0</v>
      </c>
      <c r="L105" s="136">
        <f>K105/K106</f>
        <v>0</v>
      </c>
      <c r="M105" s="28">
        <v>0</v>
      </c>
      <c r="N105" s="136">
        <f>M105/M106</f>
        <v>0</v>
      </c>
      <c r="O105" s="146">
        <f>(J105/H105)*33.33%</f>
        <v>0</v>
      </c>
      <c r="P105" s="146">
        <f>(L105/H105)*33.33%</f>
        <v>0</v>
      </c>
      <c r="Q105" s="146">
        <f>(N105/H105)*33.33%</f>
        <v>0</v>
      </c>
      <c r="R105" s="112" t="s">
        <v>450</v>
      </c>
      <c r="S105" s="210">
        <v>45170</v>
      </c>
      <c r="T105" s="210">
        <v>45260</v>
      </c>
      <c r="U105" s="103" t="s">
        <v>399</v>
      </c>
      <c r="V105" s="103" t="s">
        <v>399</v>
      </c>
      <c r="W105" s="99">
        <f>O105</f>
        <v>0</v>
      </c>
      <c r="X105" s="99">
        <f>J105/H105</f>
        <v>0</v>
      </c>
      <c r="Y105" s="101" t="s">
        <v>428</v>
      </c>
    </row>
    <row r="106" spans="1:25" ht="30.75" customHeight="1">
      <c r="A106" s="320"/>
      <c r="B106" s="325"/>
      <c r="C106" s="316"/>
      <c r="D106" s="316"/>
      <c r="E106" s="318"/>
      <c r="F106" s="34" t="s">
        <v>166</v>
      </c>
      <c r="G106" s="261"/>
      <c r="H106" s="261"/>
      <c r="I106" s="28">
        <v>14</v>
      </c>
      <c r="J106" s="136"/>
      <c r="K106" s="28">
        <v>14</v>
      </c>
      <c r="L106" s="136"/>
      <c r="M106" s="28">
        <v>14</v>
      </c>
      <c r="N106" s="136"/>
      <c r="O106" s="146"/>
      <c r="P106" s="146"/>
      <c r="Q106" s="146"/>
      <c r="R106" s="112"/>
      <c r="S106" s="100"/>
      <c r="T106" s="100"/>
      <c r="U106" s="103"/>
      <c r="V106" s="103"/>
      <c r="W106" s="100"/>
      <c r="X106" s="100"/>
      <c r="Y106" s="101"/>
    </row>
    <row r="107" spans="1:25" ht="32.25" customHeight="1">
      <c r="A107" s="320"/>
      <c r="B107" s="325"/>
      <c r="C107" s="316" t="s">
        <v>176</v>
      </c>
      <c r="D107" s="316" t="s">
        <v>112</v>
      </c>
      <c r="E107" s="318" t="s">
        <v>177</v>
      </c>
      <c r="F107" s="34" t="s">
        <v>178</v>
      </c>
      <c r="G107" s="267">
        <v>3.8E-3</v>
      </c>
      <c r="H107" s="258">
        <v>3.5999999999999999E-3</v>
      </c>
      <c r="I107" s="28">
        <v>126</v>
      </c>
      <c r="J107" s="136">
        <f>I107/I108</f>
        <v>2.9910269192422734E-3</v>
      </c>
      <c r="K107" s="28">
        <v>158</v>
      </c>
      <c r="L107" s="136">
        <f>K107/K108</f>
        <v>3.7081367786148465E-3</v>
      </c>
      <c r="M107" s="28">
        <v>128</v>
      </c>
      <c r="N107" s="136">
        <f>M107/M108</f>
        <v>2.9907240823383724E-3</v>
      </c>
      <c r="O107" s="146">
        <f>J107</f>
        <v>2.9910269192422734E-3</v>
      </c>
      <c r="P107" s="146">
        <f>L107</f>
        <v>3.7081367786148465E-3</v>
      </c>
      <c r="Q107" s="146">
        <f>N107</f>
        <v>2.9907240823383724E-3</v>
      </c>
      <c r="R107" s="112" t="s">
        <v>448</v>
      </c>
      <c r="S107" s="210">
        <v>45170</v>
      </c>
      <c r="T107" s="210">
        <v>45260</v>
      </c>
      <c r="U107" s="126" t="s">
        <v>429</v>
      </c>
      <c r="V107" s="126" t="s">
        <v>400</v>
      </c>
      <c r="W107" s="102">
        <f>O107+P107+Q107</f>
        <v>9.6898877801954927E-3</v>
      </c>
      <c r="X107" s="99">
        <v>0.97</v>
      </c>
      <c r="Y107" s="101" t="s">
        <v>418</v>
      </c>
    </row>
    <row r="108" spans="1:25" ht="32.25" customHeight="1" thickBot="1">
      <c r="A108" s="321"/>
      <c r="B108" s="326"/>
      <c r="C108" s="317"/>
      <c r="D108" s="317"/>
      <c r="E108" s="335"/>
      <c r="F108" s="56" t="s">
        <v>179</v>
      </c>
      <c r="G108" s="339"/>
      <c r="H108" s="259"/>
      <c r="I108" s="67">
        <f>I97</f>
        <v>42126</v>
      </c>
      <c r="J108" s="145"/>
      <c r="K108" s="67">
        <f>K97</f>
        <v>42609</v>
      </c>
      <c r="L108" s="145"/>
      <c r="M108" s="67">
        <v>42799</v>
      </c>
      <c r="N108" s="145"/>
      <c r="O108" s="147"/>
      <c r="P108" s="147"/>
      <c r="Q108" s="147"/>
      <c r="R108" s="184"/>
      <c r="S108" s="113"/>
      <c r="T108" s="113"/>
      <c r="U108" s="127"/>
      <c r="V108" s="127"/>
      <c r="W108" s="128"/>
      <c r="X108" s="113"/>
      <c r="Y108" s="129"/>
    </row>
    <row r="109" spans="1:25" ht="55.5" customHeight="1">
      <c r="A109" s="319" t="s">
        <v>180</v>
      </c>
      <c r="B109" s="332" t="s">
        <v>181</v>
      </c>
      <c r="C109" s="336" t="s">
        <v>182</v>
      </c>
      <c r="D109" s="336" t="s">
        <v>0</v>
      </c>
      <c r="E109" s="333" t="s">
        <v>183</v>
      </c>
      <c r="F109" s="89" t="s">
        <v>184</v>
      </c>
      <c r="G109" s="334">
        <v>1</v>
      </c>
      <c r="H109" s="130">
        <v>1</v>
      </c>
      <c r="I109" s="61">
        <f>6*4</f>
        <v>24</v>
      </c>
      <c r="J109" s="219">
        <f>I109/I110</f>
        <v>1</v>
      </c>
      <c r="K109" s="61">
        <v>20</v>
      </c>
      <c r="L109" s="219">
        <f>K109/K110</f>
        <v>1</v>
      </c>
      <c r="M109" s="61">
        <f>6*4</f>
        <v>24</v>
      </c>
      <c r="N109" s="219">
        <f>M109/M110</f>
        <v>1</v>
      </c>
      <c r="O109" s="148">
        <f t="shared" ref="O109" si="8">J109</f>
        <v>1</v>
      </c>
      <c r="P109" s="161">
        <f>L109</f>
        <v>1</v>
      </c>
      <c r="Q109" s="161">
        <f>N109</f>
        <v>1</v>
      </c>
      <c r="R109" s="130" t="s">
        <v>353</v>
      </c>
      <c r="S109" s="240">
        <v>44927</v>
      </c>
      <c r="T109" s="240">
        <v>45260</v>
      </c>
      <c r="U109" s="130" t="s">
        <v>430</v>
      </c>
      <c r="V109" s="130" t="s">
        <v>431</v>
      </c>
      <c r="W109" s="121">
        <f>(O109+P109+Q109)/3</f>
        <v>1</v>
      </c>
      <c r="X109" s="121">
        <f>Q109</f>
        <v>1</v>
      </c>
      <c r="Y109" s="122" t="s">
        <v>430</v>
      </c>
    </row>
    <row r="110" spans="1:25" ht="51" customHeight="1">
      <c r="A110" s="320"/>
      <c r="B110" s="325"/>
      <c r="C110" s="166"/>
      <c r="D110" s="166"/>
      <c r="E110" s="318"/>
      <c r="F110" s="34" t="s">
        <v>185</v>
      </c>
      <c r="G110" s="267"/>
      <c r="H110" s="112"/>
      <c r="I110" s="24">
        <v>24</v>
      </c>
      <c r="J110" s="153"/>
      <c r="K110" s="24">
        <v>20</v>
      </c>
      <c r="L110" s="153"/>
      <c r="M110" s="24">
        <v>24</v>
      </c>
      <c r="N110" s="153"/>
      <c r="O110" s="136"/>
      <c r="P110" s="162"/>
      <c r="Q110" s="162"/>
      <c r="R110" s="112"/>
      <c r="S110" s="210"/>
      <c r="T110" s="210"/>
      <c r="U110" s="112"/>
      <c r="V110" s="112"/>
      <c r="W110" s="107"/>
      <c r="X110" s="107"/>
      <c r="Y110" s="117"/>
    </row>
    <row r="111" spans="1:25" ht="54.75" customHeight="1">
      <c r="A111" s="320"/>
      <c r="B111" s="325"/>
      <c r="C111" s="140" t="s">
        <v>186</v>
      </c>
      <c r="D111" s="341" t="s">
        <v>0</v>
      </c>
      <c r="E111" s="325" t="s">
        <v>187</v>
      </c>
      <c r="F111" s="29" t="s">
        <v>188</v>
      </c>
      <c r="G111" s="267">
        <v>1</v>
      </c>
      <c r="H111" s="112">
        <v>1</v>
      </c>
      <c r="I111" s="28">
        <f>2+3+13</f>
        <v>18</v>
      </c>
      <c r="J111" s="153">
        <f>I111/I112</f>
        <v>1</v>
      </c>
      <c r="K111" s="28">
        <v>9</v>
      </c>
      <c r="L111" s="153">
        <f>K111/K112</f>
        <v>1</v>
      </c>
      <c r="M111" s="28">
        <f>12+7+9</f>
        <v>28</v>
      </c>
      <c r="N111" s="153">
        <f>M111/M112</f>
        <v>1</v>
      </c>
      <c r="O111" s="136">
        <f t="shared" ref="O111" si="9">J111</f>
        <v>1</v>
      </c>
      <c r="P111" s="162">
        <f>L111</f>
        <v>1</v>
      </c>
      <c r="Q111" s="162">
        <f>N111</f>
        <v>1</v>
      </c>
      <c r="R111" s="112" t="s">
        <v>354</v>
      </c>
      <c r="S111" s="210">
        <v>44927</v>
      </c>
      <c r="T111" s="210">
        <v>45260</v>
      </c>
      <c r="U111" s="112" t="s">
        <v>432</v>
      </c>
      <c r="V111" s="112"/>
      <c r="W111" s="107">
        <f>(O111+P111+Q111)/3</f>
        <v>1</v>
      </c>
      <c r="X111" s="107">
        <f>Q111</f>
        <v>1</v>
      </c>
      <c r="Y111" s="117" t="s">
        <v>439</v>
      </c>
    </row>
    <row r="112" spans="1:25" ht="38.25" customHeight="1">
      <c r="A112" s="320"/>
      <c r="B112" s="325"/>
      <c r="C112" s="140"/>
      <c r="D112" s="341"/>
      <c r="E112" s="325"/>
      <c r="F112" s="29" t="s">
        <v>189</v>
      </c>
      <c r="G112" s="267"/>
      <c r="H112" s="112"/>
      <c r="I112" s="28">
        <f>2+3+13</f>
        <v>18</v>
      </c>
      <c r="J112" s="153"/>
      <c r="K112" s="28">
        <v>9</v>
      </c>
      <c r="L112" s="153"/>
      <c r="M112" s="28">
        <f>12+7+9</f>
        <v>28</v>
      </c>
      <c r="N112" s="153"/>
      <c r="O112" s="136"/>
      <c r="P112" s="162"/>
      <c r="Q112" s="162"/>
      <c r="R112" s="112"/>
      <c r="S112" s="210"/>
      <c r="T112" s="210"/>
      <c r="U112" s="112"/>
      <c r="V112" s="112"/>
      <c r="W112" s="107"/>
      <c r="X112" s="107"/>
      <c r="Y112" s="117"/>
    </row>
    <row r="113" spans="1:25" ht="30" customHeight="1">
      <c r="A113" s="320"/>
      <c r="B113" s="325"/>
      <c r="C113" s="140" t="s">
        <v>190</v>
      </c>
      <c r="D113" s="140" t="s">
        <v>0</v>
      </c>
      <c r="E113" s="331" t="s">
        <v>191</v>
      </c>
      <c r="F113" s="29" t="s">
        <v>192</v>
      </c>
      <c r="G113" s="267">
        <v>1</v>
      </c>
      <c r="H113" s="112">
        <v>1</v>
      </c>
      <c r="I113" s="35">
        <v>1</v>
      </c>
      <c r="J113" s="153">
        <v>1</v>
      </c>
      <c r="K113" s="35">
        <v>1</v>
      </c>
      <c r="L113" s="153">
        <v>1</v>
      </c>
      <c r="M113" s="35">
        <f>3+2+3</f>
        <v>8</v>
      </c>
      <c r="N113" s="153">
        <f>M113/M114</f>
        <v>1</v>
      </c>
      <c r="O113" s="136">
        <f t="shared" ref="O113" si="10">J113</f>
        <v>1</v>
      </c>
      <c r="P113" s="162">
        <f>L113</f>
        <v>1</v>
      </c>
      <c r="Q113" s="162">
        <f>N113</f>
        <v>1</v>
      </c>
      <c r="R113" s="112" t="s">
        <v>355</v>
      </c>
      <c r="S113" s="210">
        <v>45047</v>
      </c>
      <c r="T113" s="210">
        <v>45169</v>
      </c>
      <c r="U113" s="112" t="s">
        <v>433</v>
      </c>
      <c r="V113" s="112"/>
      <c r="W113" s="107">
        <f>(O113+P113+Q113)/3</f>
        <v>1</v>
      </c>
      <c r="X113" s="107">
        <f>Q113</f>
        <v>1</v>
      </c>
      <c r="Y113" s="117" t="s">
        <v>433</v>
      </c>
    </row>
    <row r="114" spans="1:25" ht="31.5" customHeight="1">
      <c r="A114" s="320"/>
      <c r="B114" s="325"/>
      <c r="C114" s="140"/>
      <c r="D114" s="140"/>
      <c r="E114" s="331"/>
      <c r="F114" s="29" t="s">
        <v>193</v>
      </c>
      <c r="G114" s="267"/>
      <c r="H114" s="112"/>
      <c r="I114" s="35">
        <v>1</v>
      </c>
      <c r="J114" s="153"/>
      <c r="K114" s="35">
        <v>1</v>
      </c>
      <c r="L114" s="153"/>
      <c r="M114" s="35">
        <f>3+2+3</f>
        <v>8</v>
      </c>
      <c r="N114" s="153"/>
      <c r="O114" s="136"/>
      <c r="P114" s="162"/>
      <c r="Q114" s="162"/>
      <c r="R114" s="112"/>
      <c r="S114" s="210"/>
      <c r="T114" s="210"/>
      <c r="U114" s="112"/>
      <c r="V114" s="112"/>
      <c r="W114" s="107"/>
      <c r="X114" s="107"/>
      <c r="Y114" s="117"/>
    </row>
    <row r="115" spans="1:25" ht="37.5" customHeight="1">
      <c r="A115" s="320"/>
      <c r="B115" s="325"/>
      <c r="C115" s="140" t="s">
        <v>194</v>
      </c>
      <c r="D115" s="140" t="s">
        <v>0</v>
      </c>
      <c r="E115" s="325" t="s">
        <v>195</v>
      </c>
      <c r="F115" s="29" t="s">
        <v>196</v>
      </c>
      <c r="G115" s="267">
        <v>1</v>
      </c>
      <c r="H115" s="112">
        <v>1</v>
      </c>
      <c r="I115" s="35">
        <v>3</v>
      </c>
      <c r="J115" s="153">
        <f>I115/I116</f>
        <v>0.15789473684210525</v>
      </c>
      <c r="K115" s="35">
        <v>14</v>
      </c>
      <c r="L115" s="153">
        <f>K115/K116</f>
        <v>1.5555555555555556</v>
      </c>
      <c r="M115" s="35">
        <v>0</v>
      </c>
      <c r="N115" s="153">
        <v>0</v>
      </c>
      <c r="O115" s="136">
        <f t="shared" ref="O115" si="11">J115</f>
        <v>0.15789473684210525</v>
      </c>
      <c r="P115" s="162">
        <f>L115</f>
        <v>1.5555555555555556</v>
      </c>
      <c r="Q115" s="162">
        <f>N115</f>
        <v>0</v>
      </c>
      <c r="R115" s="112" t="s">
        <v>356</v>
      </c>
      <c r="S115" s="210">
        <v>45047</v>
      </c>
      <c r="T115" s="210">
        <v>45169</v>
      </c>
      <c r="U115" s="112" t="s">
        <v>434</v>
      </c>
      <c r="V115" s="112"/>
      <c r="W115" s="118">
        <f>(O115+P115+Q115)/3</f>
        <v>0.57115009746588696</v>
      </c>
      <c r="X115" s="118">
        <v>0.56999999999999995</v>
      </c>
      <c r="Y115" s="117" t="s">
        <v>440</v>
      </c>
    </row>
    <row r="116" spans="1:25" ht="69" customHeight="1" thickBot="1">
      <c r="A116" s="321"/>
      <c r="B116" s="326"/>
      <c r="C116" s="141"/>
      <c r="D116" s="141"/>
      <c r="E116" s="326"/>
      <c r="F116" s="48" t="s">
        <v>197</v>
      </c>
      <c r="G116" s="339"/>
      <c r="H116" s="184"/>
      <c r="I116" s="49">
        <v>19</v>
      </c>
      <c r="J116" s="175"/>
      <c r="K116" s="49">
        <v>9</v>
      </c>
      <c r="L116" s="175"/>
      <c r="M116" s="49">
        <v>7</v>
      </c>
      <c r="N116" s="175"/>
      <c r="O116" s="145"/>
      <c r="P116" s="215"/>
      <c r="Q116" s="215"/>
      <c r="R116" s="184"/>
      <c r="S116" s="244"/>
      <c r="T116" s="244"/>
      <c r="U116" s="184"/>
      <c r="V116" s="184"/>
      <c r="W116" s="119"/>
      <c r="X116" s="119"/>
      <c r="Y116" s="120"/>
    </row>
    <row r="117" spans="1:25" ht="135" customHeight="1">
      <c r="A117" s="319" t="s">
        <v>198</v>
      </c>
      <c r="B117" s="170" t="s">
        <v>199</v>
      </c>
      <c r="C117" s="170" t="s">
        <v>200</v>
      </c>
      <c r="D117" s="170" t="s">
        <v>0</v>
      </c>
      <c r="E117" s="332" t="s">
        <v>224</v>
      </c>
      <c r="F117" s="64" t="s">
        <v>201</v>
      </c>
      <c r="G117" s="192">
        <v>0.99629999999999996</v>
      </c>
      <c r="H117" s="164">
        <v>1</v>
      </c>
      <c r="I117" s="74">
        <f>((-(10*27100)/100)+27100)</f>
        <v>24390</v>
      </c>
      <c r="J117" s="219">
        <f>(I118/I117)</f>
        <v>0.69371451278184593</v>
      </c>
      <c r="K117" s="74">
        <f>((-(10*27100)/100)+27100)</f>
        <v>24390</v>
      </c>
      <c r="L117" s="219">
        <f>(K118/K117)</f>
        <v>0.84015580155801561</v>
      </c>
      <c r="M117" s="74">
        <f>(24390+24390+24390)/3</f>
        <v>24390</v>
      </c>
      <c r="N117" s="148">
        <f>M118/M117</f>
        <v>0.63986907202405363</v>
      </c>
      <c r="O117" s="148">
        <f t="shared" ref="O117" si="12">J117</f>
        <v>0.69371451278184593</v>
      </c>
      <c r="P117" s="161">
        <f>L117</f>
        <v>0.84015580155801561</v>
      </c>
      <c r="Q117" s="161">
        <f>N117</f>
        <v>0.63986907202405363</v>
      </c>
      <c r="R117" s="236" t="s">
        <v>357</v>
      </c>
      <c r="S117" s="240">
        <v>45047</v>
      </c>
      <c r="T117" s="240">
        <v>45169</v>
      </c>
      <c r="U117" s="130" t="s">
        <v>443</v>
      </c>
      <c r="V117" s="170" t="s">
        <v>435</v>
      </c>
      <c r="W117" s="121">
        <f t="shared" ref="W117" si="13">(O117+P117+Q117)/3</f>
        <v>0.72457979545463846</v>
      </c>
      <c r="X117" s="121">
        <f>W117</f>
        <v>0.72457979545463846</v>
      </c>
      <c r="Y117" s="122" t="s">
        <v>441</v>
      </c>
    </row>
    <row r="118" spans="1:25" ht="84" customHeight="1">
      <c r="A118" s="320"/>
      <c r="B118" s="140"/>
      <c r="C118" s="140"/>
      <c r="D118" s="140"/>
      <c r="E118" s="325"/>
      <c r="F118" s="29" t="s">
        <v>225</v>
      </c>
      <c r="G118" s="118"/>
      <c r="H118" s="155"/>
      <c r="I118" s="9">
        <v>16919.696966749223</v>
      </c>
      <c r="J118" s="153"/>
      <c r="K118" s="9">
        <v>20491.400000000001</v>
      </c>
      <c r="L118" s="153"/>
      <c r="M118" s="9">
        <f>(9872.76+18270.55+18675.91)/3</f>
        <v>15606.406666666668</v>
      </c>
      <c r="N118" s="136"/>
      <c r="O118" s="136"/>
      <c r="P118" s="162"/>
      <c r="Q118" s="162"/>
      <c r="R118" s="237"/>
      <c r="S118" s="210"/>
      <c r="T118" s="210"/>
      <c r="U118" s="112"/>
      <c r="V118" s="140"/>
      <c r="W118" s="107"/>
      <c r="X118" s="107"/>
      <c r="Y118" s="117"/>
    </row>
    <row r="119" spans="1:25" ht="27.75" customHeight="1">
      <c r="A119" s="320"/>
      <c r="B119" s="140"/>
      <c r="C119" s="140" t="s">
        <v>202</v>
      </c>
      <c r="D119" s="140" t="s">
        <v>0</v>
      </c>
      <c r="E119" s="325" t="s">
        <v>203</v>
      </c>
      <c r="F119" s="29" t="s">
        <v>204</v>
      </c>
      <c r="G119" s="118">
        <v>0.99629999999999996</v>
      </c>
      <c r="H119" s="118">
        <v>1</v>
      </c>
      <c r="I119" s="35">
        <v>2880</v>
      </c>
      <c r="J119" s="153">
        <f>I119/I120</f>
        <v>1</v>
      </c>
      <c r="K119" s="35">
        <v>2880</v>
      </c>
      <c r="L119" s="153">
        <f>K119/K120</f>
        <v>1</v>
      </c>
      <c r="M119" s="35">
        <v>2880</v>
      </c>
      <c r="N119" s="153">
        <f>M119/M120</f>
        <v>1</v>
      </c>
      <c r="O119" s="136">
        <f t="shared" ref="O119" si="14">J119</f>
        <v>1</v>
      </c>
      <c r="P119" s="238">
        <f>L119</f>
        <v>1</v>
      </c>
      <c r="Q119" s="238">
        <f>N119</f>
        <v>1</v>
      </c>
      <c r="R119" s="237" t="s">
        <v>311</v>
      </c>
      <c r="S119" s="210">
        <v>45047</v>
      </c>
      <c r="T119" s="210">
        <v>45169</v>
      </c>
      <c r="U119" s="112" t="s">
        <v>311</v>
      </c>
      <c r="V119" s="140"/>
      <c r="W119" s="107">
        <f t="shared" ref="W119" si="15">(O119+P119+Q119)/3</f>
        <v>1</v>
      </c>
      <c r="X119" s="107">
        <f>Q119</f>
        <v>1</v>
      </c>
      <c r="Y119" s="117" t="s">
        <v>311</v>
      </c>
    </row>
    <row r="120" spans="1:25" ht="25.5" customHeight="1" thickBot="1">
      <c r="A120" s="321"/>
      <c r="B120" s="141"/>
      <c r="C120" s="141"/>
      <c r="D120" s="141"/>
      <c r="E120" s="326"/>
      <c r="F120" s="73" t="s">
        <v>205</v>
      </c>
      <c r="G120" s="119"/>
      <c r="H120" s="119"/>
      <c r="I120" s="49">
        <v>2880</v>
      </c>
      <c r="J120" s="175"/>
      <c r="K120" s="49">
        <v>2880</v>
      </c>
      <c r="L120" s="175"/>
      <c r="M120" s="49">
        <v>2880</v>
      </c>
      <c r="N120" s="175"/>
      <c r="O120" s="145"/>
      <c r="P120" s="239"/>
      <c r="Q120" s="239"/>
      <c r="R120" s="402"/>
      <c r="S120" s="244"/>
      <c r="T120" s="244"/>
      <c r="U120" s="184"/>
      <c r="V120" s="141"/>
      <c r="W120" s="114"/>
      <c r="X120" s="114"/>
      <c r="Y120" s="120"/>
    </row>
    <row r="121" spans="1:25" ht="42.75" customHeight="1">
      <c r="A121" s="319" t="s">
        <v>206</v>
      </c>
      <c r="B121" s="333" t="s">
        <v>207</v>
      </c>
      <c r="C121" s="170" t="s">
        <v>208</v>
      </c>
      <c r="D121" s="336" t="s">
        <v>112</v>
      </c>
      <c r="E121" s="337" t="s">
        <v>209</v>
      </c>
      <c r="F121" s="64" t="s">
        <v>210</v>
      </c>
      <c r="G121" s="192">
        <v>0.99629999999999996</v>
      </c>
      <c r="H121" s="219">
        <v>1</v>
      </c>
      <c r="I121" s="90">
        <v>0</v>
      </c>
      <c r="J121" s="219">
        <f>(100-(I121/I122))/100</f>
        <v>1</v>
      </c>
      <c r="K121" s="90">
        <v>0</v>
      </c>
      <c r="L121" s="219">
        <f>(100-(K121/K122))/100</f>
        <v>1</v>
      </c>
      <c r="M121" s="90">
        <v>0</v>
      </c>
      <c r="N121" s="219">
        <f>(100-(M121/M122))/100</f>
        <v>1</v>
      </c>
      <c r="O121" s="148">
        <f t="shared" ref="O121" si="16">J121</f>
        <v>1</v>
      </c>
      <c r="P121" s="161">
        <f>L121</f>
        <v>1</v>
      </c>
      <c r="Q121" s="161">
        <f>N121</f>
        <v>1</v>
      </c>
      <c r="R121" s="123" t="s">
        <v>358</v>
      </c>
      <c r="S121" s="240">
        <v>45047</v>
      </c>
      <c r="T121" s="240">
        <v>45169</v>
      </c>
      <c r="U121" s="123" t="s">
        <v>358</v>
      </c>
      <c r="V121" s="170" t="s">
        <v>436</v>
      </c>
      <c r="W121" s="121">
        <f t="shared" ref="W121" si="17">(O121+P121+Q121)/3</f>
        <v>1</v>
      </c>
      <c r="X121" s="121">
        <f>Q121</f>
        <v>1</v>
      </c>
      <c r="Y121" s="125" t="s">
        <v>358</v>
      </c>
    </row>
    <row r="122" spans="1:25" ht="47.25" customHeight="1">
      <c r="A122" s="320"/>
      <c r="B122" s="318"/>
      <c r="C122" s="140"/>
      <c r="D122" s="166"/>
      <c r="E122" s="331"/>
      <c r="F122" s="29" t="s">
        <v>211</v>
      </c>
      <c r="G122" s="118"/>
      <c r="H122" s="153"/>
      <c r="I122" s="35">
        <f>6*4</f>
        <v>24</v>
      </c>
      <c r="J122" s="153"/>
      <c r="K122" s="35">
        <f>6*4</f>
        <v>24</v>
      </c>
      <c r="L122" s="153"/>
      <c r="M122" s="35">
        <f>6*4</f>
        <v>24</v>
      </c>
      <c r="N122" s="153"/>
      <c r="O122" s="136"/>
      <c r="P122" s="162"/>
      <c r="Q122" s="162"/>
      <c r="R122" s="124"/>
      <c r="S122" s="210"/>
      <c r="T122" s="210"/>
      <c r="U122" s="124"/>
      <c r="V122" s="140"/>
      <c r="W122" s="107"/>
      <c r="X122" s="107"/>
      <c r="Y122" s="101"/>
    </row>
    <row r="123" spans="1:25" ht="34.5" customHeight="1">
      <c r="A123" s="320"/>
      <c r="B123" s="318"/>
      <c r="C123" s="140" t="s">
        <v>212</v>
      </c>
      <c r="D123" s="166" t="s">
        <v>0</v>
      </c>
      <c r="E123" s="331" t="s">
        <v>213</v>
      </c>
      <c r="F123" s="29" t="s">
        <v>214</v>
      </c>
      <c r="G123" s="118">
        <v>0.99629999999999996</v>
      </c>
      <c r="H123" s="153">
        <v>1</v>
      </c>
      <c r="I123" s="35">
        <v>2880</v>
      </c>
      <c r="J123" s="153">
        <f>I123/I124</f>
        <v>1</v>
      </c>
      <c r="K123" s="35">
        <v>2880</v>
      </c>
      <c r="L123" s="153">
        <f>K123/K124</f>
        <v>1</v>
      </c>
      <c r="M123" s="35">
        <v>2880</v>
      </c>
      <c r="N123" s="153">
        <f>M123/M124</f>
        <v>1</v>
      </c>
      <c r="O123" s="136">
        <f t="shared" ref="O123" si="18">J123</f>
        <v>1</v>
      </c>
      <c r="P123" s="162">
        <f>L123</f>
        <v>1</v>
      </c>
      <c r="Q123" s="162">
        <f>N123</f>
        <v>1</v>
      </c>
      <c r="R123" s="104" t="s">
        <v>359</v>
      </c>
      <c r="S123" s="210">
        <v>45047</v>
      </c>
      <c r="T123" s="210">
        <v>45169</v>
      </c>
      <c r="U123" s="104" t="s">
        <v>437</v>
      </c>
      <c r="V123" s="140"/>
      <c r="W123" s="107">
        <f t="shared" ref="W123" si="19">(O123+P123+Q123)/3</f>
        <v>1</v>
      </c>
      <c r="X123" s="107">
        <f>Q123</f>
        <v>1</v>
      </c>
      <c r="Y123" s="101" t="s">
        <v>437</v>
      </c>
    </row>
    <row r="124" spans="1:25" ht="27.75" customHeight="1">
      <c r="A124" s="320"/>
      <c r="B124" s="318"/>
      <c r="C124" s="140"/>
      <c r="D124" s="166"/>
      <c r="E124" s="331"/>
      <c r="F124" s="29" t="s">
        <v>215</v>
      </c>
      <c r="G124" s="118"/>
      <c r="H124" s="153"/>
      <c r="I124" s="35">
        <v>2880</v>
      </c>
      <c r="J124" s="153"/>
      <c r="K124" s="35">
        <v>2880</v>
      </c>
      <c r="L124" s="153"/>
      <c r="M124" s="35">
        <v>2880</v>
      </c>
      <c r="N124" s="153"/>
      <c r="O124" s="136"/>
      <c r="P124" s="162"/>
      <c r="Q124" s="162"/>
      <c r="R124" s="104"/>
      <c r="S124" s="210"/>
      <c r="T124" s="210"/>
      <c r="U124" s="104"/>
      <c r="V124" s="140"/>
      <c r="W124" s="107"/>
      <c r="X124" s="107"/>
      <c r="Y124" s="101"/>
    </row>
    <row r="125" spans="1:25" ht="20.25" customHeight="1">
      <c r="A125" s="320"/>
      <c r="B125" s="318"/>
      <c r="C125" s="140" t="s">
        <v>216</v>
      </c>
      <c r="D125" s="166" t="s">
        <v>75</v>
      </c>
      <c r="E125" s="331" t="s">
        <v>217</v>
      </c>
      <c r="F125" s="34" t="s">
        <v>218</v>
      </c>
      <c r="G125" s="118">
        <v>0.99629999999999996</v>
      </c>
      <c r="H125" s="153">
        <v>1</v>
      </c>
      <c r="I125" s="35">
        <v>3629</v>
      </c>
      <c r="J125" s="153">
        <v>1</v>
      </c>
      <c r="K125" s="35">
        <v>3679</v>
      </c>
      <c r="L125" s="153">
        <f>K125/K126</f>
        <v>1.0511428571428572</v>
      </c>
      <c r="M125" s="44">
        <f>(3665+3661+3661)/3</f>
        <v>3662.3333333333335</v>
      </c>
      <c r="N125" s="153">
        <f>M125/M126</f>
        <v>1.0463809523809524</v>
      </c>
      <c r="O125" s="136">
        <f t="shared" ref="O125" si="20">J125</f>
        <v>1</v>
      </c>
      <c r="P125" s="162">
        <v>1</v>
      </c>
      <c r="Q125" s="162">
        <f>N125</f>
        <v>1.0463809523809524</v>
      </c>
      <c r="R125" s="104" t="s">
        <v>360</v>
      </c>
      <c r="S125" s="210">
        <v>45047</v>
      </c>
      <c r="T125" s="210">
        <v>45169</v>
      </c>
      <c r="U125" s="104" t="s">
        <v>438</v>
      </c>
      <c r="V125" s="140"/>
      <c r="W125" s="107">
        <v>1</v>
      </c>
      <c r="X125" s="107">
        <v>1</v>
      </c>
      <c r="Y125" s="101" t="s">
        <v>438</v>
      </c>
    </row>
    <row r="126" spans="1:25" ht="35.25" customHeight="1">
      <c r="A126" s="320"/>
      <c r="B126" s="318"/>
      <c r="C126" s="140"/>
      <c r="D126" s="166"/>
      <c r="E126" s="331"/>
      <c r="F126" s="34" t="s">
        <v>219</v>
      </c>
      <c r="G126" s="118"/>
      <c r="H126" s="153"/>
      <c r="I126" s="35">
        <v>3500</v>
      </c>
      <c r="J126" s="153"/>
      <c r="K126" s="35">
        <v>3500</v>
      </c>
      <c r="L126" s="153"/>
      <c r="M126" s="35">
        <v>3500</v>
      </c>
      <c r="N126" s="153"/>
      <c r="O126" s="136"/>
      <c r="P126" s="162"/>
      <c r="Q126" s="162"/>
      <c r="R126" s="100"/>
      <c r="S126" s="210"/>
      <c r="T126" s="210"/>
      <c r="U126" s="104"/>
      <c r="V126" s="140"/>
      <c r="W126" s="107"/>
      <c r="X126" s="107"/>
      <c r="Y126" s="101"/>
    </row>
    <row r="127" spans="1:25" ht="30.75" customHeight="1">
      <c r="A127" s="320"/>
      <c r="B127" s="318"/>
      <c r="C127" s="140" t="s">
        <v>220</v>
      </c>
      <c r="D127" s="166" t="s">
        <v>0</v>
      </c>
      <c r="E127" s="331" t="s">
        <v>221</v>
      </c>
      <c r="F127" s="29" t="s">
        <v>222</v>
      </c>
      <c r="G127" s="118">
        <v>0.99629999999999996</v>
      </c>
      <c r="H127" s="153">
        <v>1</v>
      </c>
      <c r="I127" s="35">
        <v>0</v>
      </c>
      <c r="J127" s="153">
        <v>1</v>
      </c>
      <c r="K127" s="35">
        <v>0</v>
      </c>
      <c r="L127" s="153">
        <v>1</v>
      </c>
      <c r="M127" s="35">
        <v>4</v>
      </c>
      <c r="N127" s="153">
        <f>M127/M128</f>
        <v>1</v>
      </c>
      <c r="O127" s="136">
        <f t="shared" ref="O127" si="21">J127</f>
        <v>1</v>
      </c>
      <c r="P127" s="162">
        <f>L127</f>
        <v>1</v>
      </c>
      <c r="Q127" s="162">
        <f>N127</f>
        <v>1</v>
      </c>
      <c r="R127" s="104" t="s">
        <v>361</v>
      </c>
      <c r="S127" s="210">
        <v>45047</v>
      </c>
      <c r="T127" s="210">
        <v>45169</v>
      </c>
      <c r="U127" s="100" t="s">
        <v>361</v>
      </c>
      <c r="V127" s="140"/>
      <c r="W127" s="107">
        <f t="shared" ref="W127" si="22">(O127+P127+Q127)/3</f>
        <v>1</v>
      </c>
      <c r="X127" s="107">
        <f>Q127</f>
        <v>1</v>
      </c>
      <c r="Y127" s="115" t="s">
        <v>442</v>
      </c>
    </row>
    <row r="128" spans="1:25" ht="34.5" customHeight="1" thickBot="1">
      <c r="A128" s="321"/>
      <c r="B128" s="335"/>
      <c r="C128" s="141"/>
      <c r="D128" s="180"/>
      <c r="E128" s="338"/>
      <c r="F128" s="48" t="s">
        <v>223</v>
      </c>
      <c r="G128" s="119"/>
      <c r="H128" s="175"/>
      <c r="I128" s="49">
        <v>0</v>
      </c>
      <c r="J128" s="175"/>
      <c r="K128" s="49">
        <v>0</v>
      </c>
      <c r="L128" s="175"/>
      <c r="M128" s="49">
        <v>4</v>
      </c>
      <c r="N128" s="175"/>
      <c r="O128" s="145"/>
      <c r="P128" s="215"/>
      <c r="Q128" s="215"/>
      <c r="R128" s="131"/>
      <c r="S128" s="244"/>
      <c r="T128" s="244"/>
      <c r="U128" s="113"/>
      <c r="V128" s="141"/>
      <c r="W128" s="114"/>
      <c r="X128" s="114"/>
      <c r="Y128" s="116"/>
    </row>
    <row r="129" spans="10:24">
      <c r="U129" s="40"/>
      <c r="V129" s="41"/>
      <c r="W129" s="50"/>
      <c r="X129" s="51"/>
    </row>
    <row r="138" spans="10:24">
      <c r="J138" s="414"/>
      <c r="K138" s="414"/>
      <c r="L138" s="414"/>
    </row>
    <row r="139" spans="10:24">
      <c r="J139" s="414"/>
      <c r="K139" s="414"/>
      <c r="L139" s="414"/>
    </row>
    <row r="140" spans="10:24">
      <c r="J140" s="414"/>
      <c r="K140" s="414"/>
      <c r="L140" s="414"/>
    </row>
    <row r="141" spans="10:24">
      <c r="J141" s="415"/>
      <c r="K141" s="415"/>
      <c r="L141" s="414"/>
    </row>
  </sheetData>
  <mergeCells count="1183">
    <mergeCell ref="U4:U5"/>
    <mergeCell ref="R4:T4"/>
    <mergeCell ref="Z71:Z72"/>
    <mergeCell ref="J141:K141"/>
    <mergeCell ref="J115:J116"/>
    <mergeCell ref="L115:L116"/>
    <mergeCell ref="N115:N116"/>
    <mergeCell ref="Q119:Q120"/>
    <mergeCell ref="R119:R120"/>
    <mergeCell ref="O109:O110"/>
    <mergeCell ref="R71:R72"/>
    <mergeCell ref="S71:S72"/>
    <mergeCell ref="P65:P66"/>
    <mergeCell ref="Q123:Q124"/>
    <mergeCell ref="Q75:Q76"/>
    <mergeCell ref="O81:O82"/>
    <mergeCell ref="O83:O84"/>
    <mergeCell ref="L111:L112"/>
    <mergeCell ref="N111:N112"/>
    <mergeCell ref="S65:S66"/>
    <mergeCell ref="J107:J108"/>
    <mergeCell ref="Q79:Q80"/>
    <mergeCell ref="Q81:Q82"/>
    <mergeCell ref="P115:P116"/>
    <mergeCell ref="S115:S116"/>
    <mergeCell ref="P109:P110"/>
    <mergeCell ref="P111:P112"/>
    <mergeCell ref="P113:P114"/>
    <mergeCell ref="Q125:Q126"/>
    <mergeCell ref="Q127:Q128"/>
    <mergeCell ref="P125:P126"/>
    <mergeCell ref="P127:P128"/>
    <mergeCell ref="J127:J128"/>
    <mergeCell ref="L127:L128"/>
    <mergeCell ref="V91:V92"/>
    <mergeCell ref="U125:U126"/>
    <mergeCell ref="N127:N128"/>
    <mergeCell ref="T65:T66"/>
    <mergeCell ref="R67:R68"/>
    <mergeCell ref="S67:S68"/>
    <mergeCell ref="O75:O76"/>
    <mergeCell ref="O121:O122"/>
    <mergeCell ref="T105:T106"/>
    <mergeCell ref="R101:R102"/>
    <mergeCell ref="S101:S102"/>
    <mergeCell ref="T101:T102"/>
    <mergeCell ref="R95:R96"/>
    <mergeCell ref="R73:R74"/>
    <mergeCell ref="R75:R76"/>
    <mergeCell ref="T89:T90"/>
    <mergeCell ref="R87:R88"/>
    <mergeCell ref="S87:S88"/>
    <mergeCell ref="T87:T88"/>
    <mergeCell ref="O105:O106"/>
    <mergeCell ref="O93:O94"/>
    <mergeCell ref="O95:O96"/>
    <mergeCell ref="O117:O118"/>
    <mergeCell ref="N119:N120"/>
    <mergeCell ref="O127:O128"/>
    <mergeCell ref="R89:R90"/>
    <mergeCell ref="S89:S90"/>
    <mergeCell ref="Q77:Q78"/>
    <mergeCell ref="Q97:Q98"/>
    <mergeCell ref="P99:P100"/>
    <mergeCell ref="P101:P102"/>
    <mergeCell ref="P103:P104"/>
    <mergeCell ref="P105:P106"/>
    <mergeCell ref="P107:P108"/>
    <mergeCell ref="R107:R108"/>
    <mergeCell ref="S107:S108"/>
    <mergeCell ref="T107:T108"/>
    <mergeCell ref="U117:U118"/>
    <mergeCell ref="R127:R128"/>
    <mergeCell ref="S127:S128"/>
    <mergeCell ref="T127:T128"/>
    <mergeCell ref="U91:U92"/>
    <mergeCell ref="I12:I13"/>
    <mergeCell ref="K12:K13"/>
    <mergeCell ref="M12:M13"/>
    <mergeCell ref="W59:W60"/>
    <mergeCell ref="Q51:Q52"/>
    <mergeCell ref="Q53:Q54"/>
    <mergeCell ref="Q55:Q56"/>
    <mergeCell ref="J57:J58"/>
    <mergeCell ref="L57:L58"/>
    <mergeCell ref="J59:J60"/>
    <mergeCell ref="L59:L60"/>
    <mergeCell ref="O53:O54"/>
    <mergeCell ref="Q63:Q64"/>
    <mergeCell ref="Q65:Q66"/>
    <mergeCell ref="Q67:Q68"/>
    <mergeCell ref="Q69:Q70"/>
    <mergeCell ref="Q59:Q60"/>
    <mergeCell ref="R55:R60"/>
    <mergeCell ref="J69:J70"/>
    <mergeCell ref="J81:J82"/>
    <mergeCell ref="J79:J80"/>
    <mergeCell ref="O71:O72"/>
    <mergeCell ref="O73:O74"/>
    <mergeCell ref="O89:O90"/>
    <mergeCell ref="O91:O92"/>
    <mergeCell ref="E91:E92"/>
    <mergeCell ref="G97:G98"/>
    <mergeCell ref="G95:G96"/>
    <mergeCell ref="E46:E47"/>
    <mergeCell ref="G46:G47"/>
    <mergeCell ref="G42:G43"/>
    <mergeCell ref="E79:E80"/>
    <mergeCell ref="E81:E82"/>
    <mergeCell ref="E83:E84"/>
    <mergeCell ref="E85:E86"/>
    <mergeCell ref="G83:G84"/>
    <mergeCell ref="G85:G86"/>
    <mergeCell ref="G93:G94"/>
    <mergeCell ref="G87:G88"/>
    <mergeCell ref="H69:H70"/>
    <mergeCell ref="H79:H80"/>
    <mergeCell ref="H81:H82"/>
    <mergeCell ref="H89:H90"/>
    <mergeCell ref="H91:H92"/>
    <mergeCell ref="H87:H88"/>
    <mergeCell ref="G57:G58"/>
    <mergeCell ref="G89:G90"/>
    <mergeCell ref="G48:G49"/>
    <mergeCell ref="H71:H72"/>
    <mergeCell ref="H99:H100"/>
    <mergeCell ref="Q46:Q47"/>
    <mergeCell ref="J97:J98"/>
    <mergeCell ref="P81:P82"/>
    <mergeCell ref="Q71:Q72"/>
    <mergeCell ref="P51:P52"/>
    <mergeCell ref="U67:U68"/>
    <mergeCell ref="Q103:Q104"/>
    <mergeCell ref="O59:O60"/>
    <mergeCell ref="T71:T72"/>
    <mergeCell ref="R69:R70"/>
    <mergeCell ref="S69:S70"/>
    <mergeCell ref="T69:T70"/>
    <mergeCell ref="U69:U70"/>
    <mergeCell ref="T59:T60"/>
    <mergeCell ref="S59:S60"/>
    <mergeCell ref="P95:P96"/>
    <mergeCell ref="P97:P98"/>
    <mergeCell ref="P77:P78"/>
    <mergeCell ref="P79:P80"/>
    <mergeCell ref="Q73:Q74"/>
    <mergeCell ref="O111:O112"/>
    <mergeCell ref="O113:O114"/>
    <mergeCell ref="P121:P122"/>
    <mergeCell ref="P123:P124"/>
    <mergeCell ref="T123:T124"/>
    <mergeCell ref="R123:R124"/>
    <mergeCell ref="S123:S124"/>
    <mergeCell ref="U75:U76"/>
    <mergeCell ref="V75:V76"/>
    <mergeCell ref="W75:W76"/>
    <mergeCell ref="X75:X76"/>
    <mergeCell ref="F10:F11"/>
    <mergeCell ref="C8:C9"/>
    <mergeCell ref="D8:D9"/>
    <mergeCell ref="A18:A19"/>
    <mergeCell ref="F14:F15"/>
    <mergeCell ref="F12:F13"/>
    <mergeCell ref="E8:E9"/>
    <mergeCell ref="P59:P60"/>
    <mergeCell ref="E75:E76"/>
    <mergeCell ref="D71:D72"/>
    <mergeCell ref="E73:E74"/>
    <mergeCell ref="E53:E54"/>
    <mergeCell ref="C77:C82"/>
    <mergeCell ref="E105:E106"/>
    <mergeCell ref="C107:C108"/>
    <mergeCell ref="D107:D108"/>
    <mergeCell ref="E107:E108"/>
    <mergeCell ref="D101:D102"/>
    <mergeCell ref="D103:D104"/>
    <mergeCell ref="E103:E104"/>
    <mergeCell ref="D36:D37"/>
    <mergeCell ref="E36:E37"/>
    <mergeCell ref="G36:G37"/>
    <mergeCell ref="G107:G108"/>
    <mergeCell ref="G103:G104"/>
    <mergeCell ref="C65:C66"/>
    <mergeCell ref="D65:D66"/>
    <mergeCell ref="E65:E66"/>
    <mergeCell ref="D83:D84"/>
    <mergeCell ref="D85:D86"/>
    <mergeCell ref="D87:D88"/>
    <mergeCell ref="D89:D90"/>
    <mergeCell ref="C18:C19"/>
    <mergeCell ref="D18:D19"/>
    <mergeCell ref="H12:H13"/>
    <mergeCell ref="H14:H15"/>
    <mergeCell ref="H16:H17"/>
    <mergeCell ref="H18:H19"/>
    <mergeCell ref="H28:H29"/>
    <mergeCell ref="H30:H31"/>
    <mergeCell ref="H32:H33"/>
    <mergeCell ref="H34:H35"/>
    <mergeCell ref="G32:G33"/>
    <mergeCell ref="A1:Y2"/>
    <mergeCell ref="I4:J5"/>
    <mergeCell ref="J44:J45"/>
    <mergeCell ref="L44:L45"/>
    <mergeCell ref="J46:J47"/>
    <mergeCell ref="L46:L47"/>
    <mergeCell ref="J20:J21"/>
    <mergeCell ref="O4:O5"/>
    <mergeCell ref="K14:K15"/>
    <mergeCell ref="M14:M15"/>
    <mergeCell ref="K16:K17"/>
    <mergeCell ref="M16:M17"/>
    <mergeCell ref="D10:D11"/>
    <mergeCell ref="E10:E11"/>
    <mergeCell ref="J6:J7"/>
    <mergeCell ref="N32:N33"/>
    <mergeCell ref="J36:J37"/>
    <mergeCell ref="D12:D13"/>
    <mergeCell ref="A20:A27"/>
    <mergeCell ref="B20:B27"/>
    <mergeCell ref="B12:B17"/>
    <mergeCell ref="C12:C13"/>
    <mergeCell ref="G12:G13"/>
    <mergeCell ref="C24:C25"/>
    <mergeCell ref="C26:C27"/>
    <mergeCell ref="D26:D27"/>
    <mergeCell ref="G24:G25"/>
    <mergeCell ref="D30:D31"/>
    <mergeCell ref="E26:E27"/>
    <mergeCell ref="G26:G27"/>
    <mergeCell ref="E28:E29"/>
    <mergeCell ref="G28:G29"/>
    <mergeCell ref="C20:C21"/>
    <mergeCell ref="D20:D21"/>
    <mergeCell ref="E20:E21"/>
    <mergeCell ref="C30:C31"/>
    <mergeCell ref="E18:E19"/>
    <mergeCell ref="G18:G19"/>
    <mergeCell ref="B18:B19"/>
    <mergeCell ref="E24:E25"/>
    <mergeCell ref="E12:E13"/>
    <mergeCell ref="C14:C15"/>
    <mergeCell ref="D14:D15"/>
    <mergeCell ref="D16:D17"/>
    <mergeCell ref="E16:E17"/>
    <mergeCell ref="F16:F17"/>
    <mergeCell ref="E30:E31"/>
    <mergeCell ref="G30:G31"/>
    <mergeCell ref="D28:D29"/>
    <mergeCell ref="G22:G23"/>
    <mergeCell ref="D24:D25"/>
    <mergeCell ref="C22:C23"/>
    <mergeCell ref="A71:A82"/>
    <mergeCell ref="B71:B76"/>
    <mergeCell ref="D73:D74"/>
    <mergeCell ref="C73:C74"/>
    <mergeCell ref="D75:D76"/>
    <mergeCell ref="B3:C3"/>
    <mergeCell ref="A4:B4"/>
    <mergeCell ref="H10:H11"/>
    <mergeCell ref="G16:G17"/>
    <mergeCell ref="I16:I17"/>
    <mergeCell ref="G14:G15"/>
    <mergeCell ref="I14:I15"/>
    <mergeCell ref="G10:G11"/>
    <mergeCell ref="C4:C5"/>
    <mergeCell ref="D4:D5"/>
    <mergeCell ref="C6:C7"/>
    <mergeCell ref="E4:E5"/>
    <mergeCell ref="F4:F5"/>
    <mergeCell ref="G4:G5"/>
    <mergeCell ref="A5:B5"/>
    <mergeCell ref="D6:D7"/>
    <mergeCell ref="E6:E7"/>
    <mergeCell ref="G6:G7"/>
    <mergeCell ref="H6:H7"/>
    <mergeCell ref="A12:A17"/>
    <mergeCell ref="C16:C17"/>
    <mergeCell ref="H4:H5"/>
    <mergeCell ref="E14:E15"/>
    <mergeCell ref="G8:G9"/>
    <mergeCell ref="A7:A11"/>
    <mergeCell ref="B7:B11"/>
    <mergeCell ref="C10:C11"/>
    <mergeCell ref="C71:C72"/>
    <mergeCell ref="E71:E72"/>
    <mergeCell ref="B77:B82"/>
    <mergeCell ref="D77:D82"/>
    <mergeCell ref="E77:E78"/>
    <mergeCell ref="F34:F35"/>
    <mergeCell ref="G34:G35"/>
    <mergeCell ref="F38:F39"/>
    <mergeCell ref="C40:C41"/>
    <mergeCell ref="G20:G21"/>
    <mergeCell ref="E57:E58"/>
    <mergeCell ref="E51:E52"/>
    <mergeCell ref="C44:C49"/>
    <mergeCell ref="C53:C54"/>
    <mergeCell ref="D53:D54"/>
    <mergeCell ref="D55:D60"/>
    <mergeCell ref="D40:D41"/>
    <mergeCell ref="G81:G82"/>
    <mergeCell ref="E34:E35"/>
    <mergeCell ref="C32:C33"/>
    <mergeCell ref="D32:D33"/>
    <mergeCell ref="E32:E33"/>
    <mergeCell ref="D22:D23"/>
    <mergeCell ref="E22:E23"/>
    <mergeCell ref="G75:G76"/>
    <mergeCell ref="G40:G41"/>
    <mergeCell ref="G38:G39"/>
    <mergeCell ref="G55:G56"/>
    <mergeCell ref="G53:G54"/>
    <mergeCell ref="G44:G45"/>
    <mergeCell ref="G63:G64"/>
    <mergeCell ref="G59:G60"/>
    <mergeCell ref="A28:A37"/>
    <mergeCell ref="B28:B37"/>
    <mergeCell ref="C28:C29"/>
    <mergeCell ref="A63:A70"/>
    <mergeCell ref="B63:B70"/>
    <mergeCell ref="C67:C68"/>
    <mergeCell ref="D34:D35"/>
    <mergeCell ref="C36:C37"/>
    <mergeCell ref="G111:G112"/>
    <mergeCell ref="C111:C112"/>
    <mergeCell ref="E48:E49"/>
    <mergeCell ref="E55:E56"/>
    <mergeCell ref="D67:D68"/>
    <mergeCell ref="E67:E68"/>
    <mergeCell ref="C69:C70"/>
    <mergeCell ref="D69:D70"/>
    <mergeCell ref="E69:E70"/>
    <mergeCell ref="D50:D52"/>
    <mergeCell ref="C63:C64"/>
    <mergeCell ref="D63:D64"/>
    <mergeCell ref="E63:E64"/>
    <mergeCell ref="B38:B43"/>
    <mergeCell ref="C38:C39"/>
    <mergeCell ref="D38:D39"/>
    <mergeCell ref="E38:E39"/>
    <mergeCell ref="C42:C43"/>
    <mergeCell ref="D42:D43"/>
    <mergeCell ref="E42:E43"/>
    <mergeCell ref="E40:E41"/>
    <mergeCell ref="A83:A96"/>
    <mergeCell ref="D111:D112"/>
    <mergeCell ref="E111:E112"/>
    <mergeCell ref="C125:C126"/>
    <mergeCell ref="D125:D126"/>
    <mergeCell ref="D113:D114"/>
    <mergeCell ref="D115:D116"/>
    <mergeCell ref="E115:E116"/>
    <mergeCell ref="G125:G126"/>
    <mergeCell ref="G115:G116"/>
    <mergeCell ref="C113:C114"/>
    <mergeCell ref="E113:E114"/>
    <mergeCell ref="G113:G114"/>
    <mergeCell ref="F51:F52"/>
    <mergeCell ref="C50:C52"/>
    <mergeCell ref="G51:G52"/>
    <mergeCell ref="C34:C35"/>
    <mergeCell ref="A117:A120"/>
    <mergeCell ref="B117:B120"/>
    <mergeCell ref="C117:C118"/>
    <mergeCell ref="D117:D118"/>
    <mergeCell ref="E117:E118"/>
    <mergeCell ref="G117:G118"/>
    <mergeCell ref="A109:A116"/>
    <mergeCell ref="B109:B116"/>
    <mergeCell ref="C109:C110"/>
    <mergeCell ref="D109:D110"/>
    <mergeCell ref="E109:E110"/>
    <mergeCell ref="G109:G110"/>
    <mergeCell ref="C119:C120"/>
    <mergeCell ref="D119:D120"/>
    <mergeCell ref="E119:E120"/>
    <mergeCell ref="G119:G120"/>
    <mergeCell ref="C115:C116"/>
    <mergeCell ref="A38:A43"/>
    <mergeCell ref="E125:E126"/>
    <mergeCell ref="A97:A108"/>
    <mergeCell ref="B97:B108"/>
    <mergeCell ref="C97:C98"/>
    <mergeCell ref="D97:D98"/>
    <mergeCell ref="E97:E98"/>
    <mergeCell ref="C99:C100"/>
    <mergeCell ref="D99:D100"/>
    <mergeCell ref="E99:E100"/>
    <mergeCell ref="C101:C106"/>
    <mergeCell ref="D105:D106"/>
    <mergeCell ref="G73:G74"/>
    <mergeCell ref="G99:G100"/>
    <mergeCell ref="G71:G72"/>
    <mergeCell ref="G67:G68"/>
    <mergeCell ref="G69:G70"/>
    <mergeCell ref="A121:A128"/>
    <mergeCell ref="B121:B128"/>
    <mergeCell ref="C121:C122"/>
    <mergeCell ref="D121:D122"/>
    <mergeCell ref="E121:E122"/>
    <mergeCell ref="G121:G122"/>
    <mergeCell ref="C127:C128"/>
    <mergeCell ref="D127:D128"/>
    <mergeCell ref="E127:E128"/>
    <mergeCell ref="C123:C124"/>
    <mergeCell ref="D123:D124"/>
    <mergeCell ref="E123:E124"/>
    <mergeCell ref="G123:G124"/>
    <mergeCell ref="G127:G128"/>
    <mergeCell ref="G105:G106"/>
    <mergeCell ref="F85:F86"/>
    <mergeCell ref="D93:D94"/>
    <mergeCell ref="D95:D96"/>
    <mergeCell ref="E101:E102"/>
    <mergeCell ref="G101:G102"/>
    <mergeCell ref="A44:A62"/>
    <mergeCell ref="B44:B62"/>
    <mergeCell ref="C61:C62"/>
    <mergeCell ref="D61:D62"/>
    <mergeCell ref="E61:E62"/>
    <mergeCell ref="E59:E60"/>
    <mergeCell ref="C55:C60"/>
    <mergeCell ref="B83:B96"/>
    <mergeCell ref="C75:C76"/>
    <mergeCell ref="C95:C96"/>
    <mergeCell ref="C93:C94"/>
    <mergeCell ref="C87:C88"/>
    <mergeCell ref="C89:C90"/>
    <mergeCell ref="E87:E88"/>
    <mergeCell ref="E89:E90"/>
    <mergeCell ref="C83:C84"/>
    <mergeCell ref="D91:D92"/>
    <mergeCell ref="E93:E94"/>
    <mergeCell ref="E95:E96"/>
    <mergeCell ref="C85:C86"/>
    <mergeCell ref="C91:C92"/>
    <mergeCell ref="D44:D49"/>
    <mergeCell ref="E44:E45"/>
    <mergeCell ref="F99:F100"/>
    <mergeCell ref="G79:G80"/>
    <mergeCell ref="G77:G78"/>
    <mergeCell ref="G91:G92"/>
    <mergeCell ref="G65:G66"/>
    <mergeCell ref="H40:H41"/>
    <mergeCell ref="H46:H47"/>
    <mergeCell ref="H42:H43"/>
    <mergeCell ref="N59:N60"/>
    <mergeCell ref="L69:L70"/>
    <mergeCell ref="J85:J86"/>
    <mergeCell ref="J87:J88"/>
    <mergeCell ref="J89:J90"/>
    <mergeCell ref="J91:J92"/>
    <mergeCell ref="J93:J94"/>
    <mergeCell ref="J95:J96"/>
    <mergeCell ref="N79:N80"/>
    <mergeCell ref="N81:N82"/>
    <mergeCell ref="N48:N49"/>
    <mergeCell ref="O48:O49"/>
    <mergeCell ref="L48:L49"/>
    <mergeCell ref="J48:J49"/>
    <mergeCell ref="I51:I52"/>
    <mergeCell ref="O77:O78"/>
    <mergeCell ref="H83:H84"/>
    <mergeCell ref="H85:H86"/>
    <mergeCell ref="J67:J68"/>
    <mergeCell ref="L67:L68"/>
    <mergeCell ref="O79:O80"/>
    <mergeCell ref="O51:O52"/>
    <mergeCell ref="H67:H68"/>
    <mergeCell ref="I38:I39"/>
    <mergeCell ref="L36:L37"/>
    <mergeCell ref="N36:N37"/>
    <mergeCell ref="J28:J29"/>
    <mergeCell ref="J77:J78"/>
    <mergeCell ref="J75:J76"/>
    <mergeCell ref="J73:J74"/>
    <mergeCell ref="L42:L43"/>
    <mergeCell ref="J38:J39"/>
    <mergeCell ref="J40:J41"/>
    <mergeCell ref="J53:J54"/>
    <mergeCell ref="N46:N47"/>
    <mergeCell ref="O46:O47"/>
    <mergeCell ref="N57:N58"/>
    <mergeCell ref="O57:O58"/>
    <mergeCell ref="J65:J66"/>
    <mergeCell ref="L65:L66"/>
    <mergeCell ref="N65:N66"/>
    <mergeCell ref="O65:O66"/>
    <mergeCell ref="N77:N78"/>
    <mergeCell ref="J55:J56"/>
    <mergeCell ref="K51:K52"/>
    <mergeCell ref="L55:L56"/>
    <mergeCell ref="L53:L54"/>
    <mergeCell ref="N67:N68"/>
    <mergeCell ref="O67:O68"/>
    <mergeCell ref="N69:N70"/>
    <mergeCell ref="M38:M39"/>
    <mergeCell ref="O69:O70"/>
    <mergeCell ref="N42:N43"/>
    <mergeCell ref="O42:O43"/>
    <mergeCell ref="N51:N52"/>
    <mergeCell ref="J10:J11"/>
    <mergeCell ref="L8:L9"/>
    <mergeCell ref="N26:N27"/>
    <mergeCell ref="J18:J19"/>
    <mergeCell ref="L18:L19"/>
    <mergeCell ref="L10:L11"/>
    <mergeCell ref="L28:L29"/>
    <mergeCell ref="J34:J35"/>
    <mergeCell ref="R10:R11"/>
    <mergeCell ref="O12:O13"/>
    <mergeCell ref="O36:O37"/>
    <mergeCell ref="R42:R43"/>
    <mergeCell ref="L24:L25"/>
    <mergeCell ref="L32:L33"/>
    <mergeCell ref="L38:L39"/>
    <mergeCell ref="L40:L41"/>
    <mergeCell ref="L34:L35"/>
    <mergeCell ref="K38:K39"/>
    <mergeCell ref="N38:N39"/>
    <mergeCell ref="O38:O39"/>
    <mergeCell ref="R38:R39"/>
    <mergeCell ref="N40:N41"/>
    <mergeCell ref="P26:P27"/>
    <mergeCell ref="Q26:Q27"/>
    <mergeCell ref="Q42:Q43"/>
    <mergeCell ref="P38:P39"/>
    <mergeCell ref="P40:P41"/>
    <mergeCell ref="N34:N35"/>
    <mergeCell ref="Q38:Q39"/>
    <mergeCell ref="Q40:Q41"/>
    <mergeCell ref="O34:O35"/>
    <mergeCell ref="Q36:Q37"/>
    <mergeCell ref="H8:H9"/>
    <mergeCell ref="X16:X17"/>
    <mergeCell ref="S12:S13"/>
    <mergeCell ref="T12:T13"/>
    <mergeCell ref="P12:P13"/>
    <mergeCell ref="P14:P15"/>
    <mergeCell ref="N16:N17"/>
    <mergeCell ref="J12:J13"/>
    <mergeCell ref="J14:J15"/>
    <mergeCell ref="J16:J17"/>
    <mergeCell ref="L12:L13"/>
    <mergeCell ref="L14:L15"/>
    <mergeCell ref="L16:L17"/>
    <mergeCell ref="L30:L31"/>
    <mergeCell ref="J32:J33"/>
    <mergeCell ref="J22:J23"/>
    <mergeCell ref="L20:L21"/>
    <mergeCell ref="L22:L23"/>
    <mergeCell ref="L26:L27"/>
    <mergeCell ref="S16:S17"/>
    <mergeCell ref="R20:R21"/>
    <mergeCell ref="O22:O23"/>
    <mergeCell ref="O24:O25"/>
    <mergeCell ref="S20:S21"/>
    <mergeCell ref="J26:J27"/>
    <mergeCell ref="P30:P31"/>
    <mergeCell ref="P32:P33"/>
    <mergeCell ref="J24:J25"/>
    <mergeCell ref="N18:N19"/>
    <mergeCell ref="O28:O29"/>
    <mergeCell ref="O30:O31"/>
    <mergeCell ref="J8:J9"/>
    <mergeCell ref="X6:X7"/>
    <mergeCell ref="Y6:Y7"/>
    <mergeCell ref="V8:V9"/>
    <mergeCell ref="W8:W9"/>
    <mergeCell ref="X8:X9"/>
    <mergeCell ref="Y8:Y9"/>
    <mergeCell ref="U6:U7"/>
    <mergeCell ref="U8:U9"/>
    <mergeCell ref="U10:U11"/>
    <mergeCell ref="V6:V7"/>
    <mergeCell ref="U16:U17"/>
    <mergeCell ref="V16:V17"/>
    <mergeCell ref="U20:U21"/>
    <mergeCell ref="V20:V21"/>
    <mergeCell ref="W6:W7"/>
    <mergeCell ref="W16:W17"/>
    <mergeCell ref="U18:U19"/>
    <mergeCell ref="V18:V19"/>
    <mergeCell ref="W18:W19"/>
    <mergeCell ref="X18:X19"/>
    <mergeCell ref="Y18:Y19"/>
    <mergeCell ref="X12:X13"/>
    <mergeCell ref="Y12:Y13"/>
    <mergeCell ref="U14:U15"/>
    <mergeCell ref="W14:W15"/>
    <mergeCell ref="X14:X15"/>
    <mergeCell ref="Y14:Y15"/>
    <mergeCell ref="U12:U13"/>
    <mergeCell ref="V12:V13"/>
    <mergeCell ref="W12:W13"/>
    <mergeCell ref="W10:W11"/>
    <mergeCell ref="X10:X11"/>
    <mergeCell ref="Y34:Y35"/>
    <mergeCell ref="X28:X29"/>
    <mergeCell ref="Y28:Y29"/>
    <mergeCell ref="N30:N31"/>
    <mergeCell ref="Q30:Q31"/>
    <mergeCell ref="R30:R31"/>
    <mergeCell ref="S30:S31"/>
    <mergeCell ref="T30:T31"/>
    <mergeCell ref="U30:U31"/>
    <mergeCell ref="V30:V31"/>
    <mergeCell ref="W30:W31"/>
    <mergeCell ref="X30:X31"/>
    <mergeCell ref="Y30:Y31"/>
    <mergeCell ref="N28:N29"/>
    <mergeCell ref="Q28:Q29"/>
    <mergeCell ref="R28:R29"/>
    <mergeCell ref="S28:S29"/>
    <mergeCell ref="T28:T29"/>
    <mergeCell ref="U28:U29"/>
    <mergeCell ref="V28:V29"/>
    <mergeCell ref="W28:W29"/>
    <mergeCell ref="P34:P35"/>
    <mergeCell ref="Q34:Q35"/>
    <mergeCell ref="Y32:Y33"/>
    <mergeCell ref="O32:O33"/>
    <mergeCell ref="P28:P29"/>
    <mergeCell ref="U32:U33"/>
    <mergeCell ref="U34:U35"/>
    <mergeCell ref="V34:V35"/>
    <mergeCell ref="P53:P54"/>
    <mergeCell ref="J71:J72"/>
    <mergeCell ref="L71:L72"/>
    <mergeCell ref="N71:N72"/>
    <mergeCell ref="H77:H78"/>
    <mergeCell ref="J42:J43"/>
    <mergeCell ref="J51:J52"/>
    <mergeCell ref="L51:L52"/>
    <mergeCell ref="M51:M52"/>
    <mergeCell ref="L83:L84"/>
    <mergeCell ref="N83:N84"/>
    <mergeCell ref="H48:H49"/>
    <mergeCell ref="L75:L76"/>
    <mergeCell ref="Q48:Q49"/>
    <mergeCell ref="P46:P47"/>
    <mergeCell ref="P48:P49"/>
    <mergeCell ref="L77:L78"/>
    <mergeCell ref="L79:L80"/>
    <mergeCell ref="L81:L82"/>
    <mergeCell ref="N75:N76"/>
    <mergeCell ref="H101:H102"/>
    <mergeCell ref="W57:W58"/>
    <mergeCell ref="X57:X58"/>
    <mergeCell ref="Y57:Y58"/>
    <mergeCell ref="O55:O56"/>
    <mergeCell ref="S55:S56"/>
    <mergeCell ref="T55:T56"/>
    <mergeCell ref="W55:W56"/>
    <mergeCell ref="N55:N56"/>
    <mergeCell ref="P55:P56"/>
    <mergeCell ref="P57:P58"/>
    <mergeCell ref="Q57:Q58"/>
    <mergeCell ref="P67:P68"/>
    <mergeCell ref="P69:P70"/>
    <mergeCell ref="P71:P72"/>
    <mergeCell ref="P73:P74"/>
    <mergeCell ref="P75:P76"/>
    <mergeCell ref="H65:H66"/>
    <mergeCell ref="H97:H98"/>
    <mergeCell ref="J63:J64"/>
    <mergeCell ref="L63:L64"/>
    <mergeCell ref="N63:N64"/>
    <mergeCell ref="O63:O64"/>
    <mergeCell ref="P63:P64"/>
    <mergeCell ref="J83:J84"/>
    <mergeCell ref="P85:P86"/>
    <mergeCell ref="P87:P88"/>
    <mergeCell ref="O101:O102"/>
    <mergeCell ref="L93:L94"/>
    <mergeCell ref="H73:H74"/>
    <mergeCell ref="H75:H76"/>
    <mergeCell ref="J101:J102"/>
    <mergeCell ref="H121:H122"/>
    <mergeCell ref="H123:H124"/>
    <mergeCell ref="Q115:Q116"/>
    <mergeCell ref="R115:R116"/>
    <mergeCell ref="T115:T116"/>
    <mergeCell ref="U115:U116"/>
    <mergeCell ref="L113:L114"/>
    <mergeCell ref="N113:N114"/>
    <mergeCell ref="Q113:Q114"/>
    <mergeCell ref="R113:R114"/>
    <mergeCell ref="S113:S114"/>
    <mergeCell ref="T113:T114"/>
    <mergeCell ref="U113:U114"/>
    <mergeCell ref="O115:O116"/>
    <mergeCell ref="H93:H94"/>
    <mergeCell ref="H95:H96"/>
    <mergeCell ref="J111:J112"/>
    <mergeCell ref="Q111:Q112"/>
    <mergeCell ref="R111:R112"/>
    <mergeCell ref="S111:S112"/>
    <mergeCell ref="T111:T112"/>
    <mergeCell ref="J109:J110"/>
    <mergeCell ref="L109:L110"/>
    <mergeCell ref="N109:N110"/>
    <mergeCell ref="Q109:Q110"/>
    <mergeCell ref="R109:R110"/>
    <mergeCell ref="S109:S110"/>
    <mergeCell ref="T109:T110"/>
    <mergeCell ref="J113:J114"/>
    <mergeCell ref="J119:J120"/>
    <mergeCell ref="L119:L120"/>
    <mergeCell ref="S119:S120"/>
    <mergeCell ref="P4:P5"/>
    <mergeCell ref="Q22:Q23"/>
    <mergeCell ref="P8:P9"/>
    <mergeCell ref="P6:P7"/>
    <mergeCell ref="P18:P19"/>
    <mergeCell ref="P16:P17"/>
    <mergeCell ref="Q16:Q17"/>
    <mergeCell ref="Q6:Q7"/>
    <mergeCell ref="H125:H126"/>
    <mergeCell ref="H127:H128"/>
    <mergeCell ref="H20:H21"/>
    <mergeCell ref="H22:H23"/>
    <mergeCell ref="H24:H25"/>
    <mergeCell ref="H38:H39"/>
    <mergeCell ref="H44:H45"/>
    <mergeCell ref="H51:H52"/>
    <mergeCell ref="H53:H54"/>
    <mergeCell ref="H55:H56"/>
    <mergeCell ref="H57:H58"/>
    <mergeCell ref="H59:H60"/>
    <mergeCell ref="H107:H108"/>
    <mergeCell ref="H109:H110"/>
    <mergeCell ref="H111:H112"/>
    <mergeCell ref="H113:H114"/>
    <mergeCell ref="H26:H27"/>
    <mergeCell ref="H36:H37"/>
    <mergeCell ref="H115:H116"/>
    <mergeCell ref="H117:H118"/>
    <mergeCell ref="H119:H120"/>
    <mergeCell ref="H105:H106"/>
    <mergeCell ref="H103:H104"/>
    <mergeCell ref="H63:H64"/>
    <mergeCell ref="Q8:Q9"/>
    <mergeCell ref="Q12:Q13"/>
    <mergeCell ref="Q14:Q15"/>
    <mergeCell ref="R18:R19"/>
    <mergeCell ref="S18:S19"/>
    <mergeCell ref="T18:T19"/>
    <mergeCell ref="T119:T120"/>
    <mergeCell ref="Q32:Q33"/>
    <mergeCell ref="R32:R33"/>
    <mergeCell ref="S32:S33"/>
    <mergeCell ref="T32:T33"/>
    <mergeCell ref="R34:R35"/>
    <mergeCell ref="S34:S35"/>
    <mergeCell ref="O40:O41"/>
    <mergeCell ref="R40:R41"/>
    <mergeCell ref="S40:S41"/>
    <mergeCell ref="T83:T84"/>
    <mergeCell ref="R85:R86"/>
    <mergeCell ref="S85:S86"/>
    <mergeCell ref="T85:T86"/>
    <mergeCell ref="R105:R106"/>
    <mergeCell ref="S105:S106"/>
    <mergeCell ref="S42:S43"/>
    <mergeCell ref="T42:T43"/>
    <mergeCell ref="S46:S47"/>
    <mergeCell ref="T46:T47"/>
    <mergeCell ref="R36:R37"/>
    <mergeCell ref="S36:S37"/>
    <mergeCell ref="T36:T37"/>
    <mergeCell ref="O26:O27"/>
    <mergeCell ref="S38:S39"/>
    <mergeCell ref="T38:T39"/>
    <mergeCell ref="N121:N122"/>
    <mergeCell ref="Q121:Q122"/>
    <mergeCell ref="R121:R122"/>
    <mergeCell ref="S121:S122"/>
    <mergeCell ref="T121:T122"/>
    <mergeCell ref="X67:X68"/>
    <mergeCell ref="Y67:Y68"/>
    <mergeCell ref="X69:X70"/>
    <mergeCell ref="Y69:Y70"/>
    <mergeCell ref="Q101:Q102"/>
    <mergeCell ref="J103:J104"/>
    <mergeCell ref="R97:R98"/>
    <mergeCell ref="S97:S98"/>
    <mergeCell ref="T97:T98"/>
    <mergeCell ref="R99:R100"/>
    <mergeCell ref="R103:R104"/>
    <mergeCell ref="S103:S104"/>
    <mergeCell ref="T103:T104"/>
    <mergeCell ref="T91:T92"/>
    <mergeCell ref="R93:R94"/>
    <mergeCell ref="S95:S96"/>
    <mergeCell ref="L95:L96"/>
    <mergeCell ref="N95:N96"/>
    <mergeCell ref="Q95:Q96"/>
    <mergeCell ref="Y75:Y76"/>
    <mergeCell ref="U83:U84"/>
    <mergeCell ref="V83:V84"/>
    <mergeCell ref="V109:V116"/>
    <mergeCell ref="V117:V120"/>
    <mergeCell ref="V121:V128"/>
    <mergeCell ref="R83:R84"/>
    <mergeCell ref="S83:S84"/>
    <mergeCell ref="S14:S15"/>
    <mergeCell ref="J125:J126"/>
    <mergeCell ref="L125:L126"/>
    <mergeCell ref="N125:N126"/>
    <mergeCell ref="R125:R126"/>
    <mergeCell ref="S125:S126"/>
    <mergeCell ref="T125:T126"/>
    <mergeCell ref="O123:O124"/>
    <mergeCell ref="O125:O126"/>
    <mergeCell ref="U119:U120"/>
    <mergeCell ref="J117:J118"/>
    <mergeCell ref="L117:L118"/>
    <mergeCell ref="N117:N118"/>
    <mergeCell ref="Q117:Q118"/>
    <mergeCell ref="R117:R118"/>
    <mergeCell ref="P117:P118"/>
    <mergeCell ref="P119:P120"/>
    <mergeCell ref="S117:S118"/>
    <mergeCell ref="O119:O120"/>
    <mergeCell ref="T117:T118"/>
    <mergeCell ref="Q105:Q106"/>
    <mergeCell ref="L99:L100"/>
    <mergeCell ref="Q99:Q100"/>
    <mergeCell ref="L101:L102"/>
    <mergeCell ref="U38:U39"/>
    <mergeCell ref="U36:U37"/>
    <mergeCell ref="J30:J31"/>
    <mergeCell ref="J123:J124"/>
    <mergeCell ref="L123:L124"/>
    <mergeCell ref="N123:N124"/>
    <mergeCell ref="J121:J122"/>
    <mergeCell ref="L121:L122"/>
    <mergeCell ref="V22:V23"/>
    <mergeCell ref="W26:W27"/>
    <mergeCell ref="S61:S62"/>
    <mergeCell ref="T61:T62"/>
    <mergeCell ref="V36:V37"/>
    <mergeCell ref="W36:W37"/>
    <mergeCell ref="X36:X37"/>
    <mergeCell ref="V32:V33"/>
    <mergeCell ref="W32:W33"/>
    <mergeCell ref="W34:W35"/>
    <mergeCell ref="X34:X35"/>
    <mergeCell ref="Y38:Y39"/>
    <mergeCell ref="T40:T41"/>
    <mergeCell ref="U40:U41"/>
    <mergeCell ref="V40:V41"/>
    <mergeCell ref="W40:W41"/>
    <mergeCell ref="X40:X41"/>
    <mergeCell ref="Y40:Y41"/>
    <mergeCell ref="V14:V15"/>
    <mergeCell ref="X55:X56"/>
    <mergeCell ref="X53:X54"/>
    <mergeCell ref="X42:X43"/>
    <mergeCell ref="Y42:Y43"/>
    <mergeCell ref="V38:V39"/>
    <mergeCell ref="W38:W39"/>
    <mergeCell ref="X51:X52"/>
    <mergeCell ref="X26:X27"/>
    <mergeCell ref="Y26:Y27"/>
    <mergeCell ref="W24:W25"/>
    <mergeCell ref="X24:X25"/>
    <mergeCell ref="Y24:Y25"/>
    <mergeCell ref="Y22:Y23"/>
    <mergeCell ref="W20:W21"/>
    <mergeCell ref="X20:X21"/>
    <mergeCell ref="Y20:Y21"/>
    <mergeCell ref="W22:W23"/>
    <mergeCell ref="Y10:Y11"/>
    <mergeCell ref="Y44:Y45"/>
    <mergeCell ref="Y46:Y47"/>
    <mergeCell ref="Y48:Y49"/>
    <mergeCell ref="Y51:Y52"/>
    <mergeCell ref="Y53:Y54"/>
    <mergeCell ref="Y16:Y17"/>
    <mergeCell ref="V10:V11"/>
    <mergeCell ref="V63:V64"/>
    <mergeCell ref="V65:V66"/>
    <mergeCell ref="V55:V60"/>
    <mergeCell ref="W67:W68"/>
    <mergeCell ref="W69:W70"/>
    <mergeCell ref="W71:W72"/>
    <mergeCell ref="V71:V72"/>
    <mergeCell ref="R26:R27"/>
    <mergeCell ref="S26:S27"/>
    <mergeCell ref="T26:T27"/>
    <mergeCell ref="U26:U27"/>
    <mergeCell ref="J105:J106"/>
    <mergeCell ref="S93:S94"/>
    <mergeCell ref="T93:T94"/>
    <mergeCell ref="T95:T96"/>
    <mergeCell ref="J99:J100"/>
    <mergeCell ref="S99:S100"/>
    <mergeCell ref="T99:T100"/>
    <mergeCell ref="T79:T80"/>
    <mergeCell ref="S81:S82"/>
    <mergeCell ref="T81:T82"/>
    <mergeCell ref="S73:S74"/>
    <mergeCell ref="T73:T74"/>
    <mergeCell ref="S75:S76"/>
    <mergeCell ref="T75:T76"/>
    <mergeCell ref="S77:S78"/>
    <mergeCell ref="T77:T78"/>
    <mergeCell ref="T16:T17"/>
    <mergeCell ref="T20:T21"/>
    <mergeCell ref="R12:R13"/>
    <mergeCell ref="O18:O19"/>
    <mergeCell ref="L6:L7"/>
    <mergeCell ref="N6:N7"/>
    <mergeCell ref="P36:P37"/>
    <mergeCell ref="Q91:Q92"/>
    <mergeCell ref="Q93:Q94"/>
    <mergeCell ref="O6:O7"/>
    <mergeCell ref="R24:R25"/>
    <mergeCell ref="S24:S25"/>
    <mergeCell ref="T24:T25"/>
    <mergeCell ref="R22:R23"/>
    <mergeCell ref="S22:S23"/>
    <mergeCell ref="T22:T23"/>
    <mergeCell ref="N8:N9"/>
    <mergeCell ref="O10:O11"/>
    <mergeCell ref="O8:O9"/>
    <mergeCell ref="N24:N25"/>
    <mergeCell ref="N20:N21"/>
    <mergeCell ref="L73:L74"/>
    <mergeCell ref="R91:R92"/>
    <mergeCell ref="S91:S92"/>
    <mergeCell ref="O85:O86"/>
    <mergeCell ref="O87:O88"/>
    <mergeCell ref="S51:S52"/>
    <mergeCell ref="T51:T52"/>
    <mergeCell ref="S10:S11"/>
    <mergeCell ref="T10:T11"/>
    <mergeCell ref="R6:R7"/>
    <mergeCell ref="R8:R9"/>
    <mergeCell ref="T6:T7"/>
    <mergeCell ref="T8:T9"/>
    <mergeCell ref="S6:S7"/>
    <mergeCell ref="S8:S9"/>
    <mergeCell ref="K4:L5"/>
    <mergeCell ref="M4:N5"/>
    <mergeCell ref="N10:N11"/>
    <mergeCell ref="Q10:Q11"/>
    <mergeCell ref="U44:U49"/>
    <mergeCell ref="U50:U52"/>
    <mergeCell ref="U53:U54"/>
    <mergeCell ref="U55:U60"/>
    <mergeCell ref="U61:U62"/>
    <mergeCell ref="U63:U64"/>
    <mergeCell ref="U65:U66"/>
    <mergeCell ref="U24:U25"/>
    <mergeCell ref="U22:U23"/>
    <mergeCell ref="O20:O21"/>
    <mergeCell ref="N22:N23"/>
    <mergeCell ref="N14:N15"/>
    <mergeCell ref="Q18:Q19"/>
    <mergeCell ref="P24:P25"/>
    <mergeCell ref="Q24:Q25"/>
    <mergeCell ref="P20:P21"/>
    <mergeCell ref="Q20:Q21"/>
    <mergeCell ref="P22:P23"/>
    <mergeCell ref="N53:N54"/>
    <mergeCell ref="U42:U43"/>
    <mergeCell ref="O16:O17"/>
    <mergeCell ref="O14:O15"/>
    <mergeCell ref="R14:R15"/>
    <mergeCell ref="T14:T15"/>
    <mergeCell ref="N12:N13"/>
    <mergeCell ref="R16:R17"/>
    <mergeCell ref="P10:P11"/>
    <mergeCell ref="Q4:Q5"/>
    <mergeCell ref="X22:X23"/>
    <mergeCell ref="X32:X33"/>
    <mergeCell ref="Y36:Y37"/>
    <mergeCell ref="T34:T35"/>
    <mergeCell ref="R77:R82"/>
    <mergeCell ref="S79:S80"/>
    <mergeCell ref="V44:V49"/>
    <mergeCell ref="V50:V52"/>
    <mergeCell ref="V53:V54"/>
    <mergeCell ref="V61:V62"/>
    <mergeCell ref="V26:V27"/>
    <mergeCell ref="V24:V25"/>
    <mergeCell ref="Y71:Y72"/>
    <mergeCell ref="T57:T58"/>
    <mergeCell ref="W42:W43"/>
    <mergeCell ref="R53:R54"/>
    <mergeCell ref="R63:R64"/>
    <mergeCell ref="T63:T64"/>
    <mergeCell ref="T67:T68"/>
    <mergeCell ref="U71:U72"/>
    <mergeCell ref="W53:W54"/>
    <mergeCell ref="Y59:Y62"/>
    <mergeCell ref="W63:W64"/>
    <mergeCell ref="X63:X64"/>
    <mergeCell ref="W65:W66"/>
    <mergeCell ref="X65:X66"/>
    <mergeCell ref="W73:W74"/>
    <mergeCell ref="W46:W47"/>
    <mergeCell ref="X46:X47"/>
    <mergeCell ref="W48:W49"/>
    <mergeCell ref="X48:X49"/>
    <mergeCell ref="X38:X39"/>
    <mergeCell ref="X73:X74"/>
    <mergeCell ref="Y73:Y74"/>
    <mergeCell ref="Y65:Y66"/>
    <mergeCell ref="Y63:Y64"/>
    <mergeCell ref="P42:P43"/>
    <mergeCell ref="P44:P45"/>
    <mergeCell ref="N44:N45"/>
    <mergeCell ref="O44:O45"/>
    <mergeCell ref="W51:W52"/>
    <mergeCell ref="X59:X60"/>
    <mergeCell ref="X71:X72"/>
    <mergeCell ref="U73:U74"/>
    <mergeCell ref="V73:V74"/>
    <mergeCell ref="V67:V68"/>
    <mergeCell ref="S63:S64"/>
    <mergeCell ref="R65:R66"/>
    <mergeCell ref="N73:N74"/>
    <mergeCell ref="R44:R49"/>
    <mergeCell ref="R50:R52"/>
    <mergeCell ref="S44:S45"/>
    <mergeCell ref="T44:T45"/>
    <mergeCell ref="Q44:Q45"/>
    <mergeCell ref="S57:S58"/>
    <mergeCell ref="S48:S49"/>
    <mergeCell ref="T48:T49"/>
    <mergeCell ref="Y55:Y56"/>
    <mergeCell ref="V42:V43"/>
    <mergeCell ref="W44:W45"/>
    <mergeCell ref="X44:X45"/>
    <mergeCell ref="V69:V70"/>
    <mergeCell ref="S53:S54"/>
    <mergeCell ref="T53:T54"/>
    <mergeCell ref="L107:L108"/>
    <mergeCell ref="Q107:Q108"/>
    <mergeCell ref="N105:N106"/>
    <mergeCell ref="N107:N108"/>
    <mergeCell ref="N103:N104"/>
    <mergeCell ref="N97:N98"/>
    <mergeCell ref="N99:N100"/>
    <mergeCell ref="N101:N102"/>
    <mergeCell ref="Q83:Q84"/>
    <mergeCell ref="L85:L86"/>
    <mergeCell ref="N85:N86"/>
    <mergeCell ref="Q85:Q86"/>
    <mergeCell ref="L87:L88"/>
    <mergeCell ref="N87:N88"/>
    <mergeCell ref="Q87:Q88"/>
    <mergeCell ref="L89:L90"/>
    <mergeCell ref="N89:N90"/>
    <mergeCell ref="Q89:Q90"/>
    <mergeCell ref="L91:L92"/>
    <mergeCell ref="N91:N92"/>
    <mergeCell ref="P89:P90"/>
    <mergeCell ref="P91:P92"/>
    <mergeCell ref="P93:P94"/>
    <mergeCell ref="O107:O108"/>
    <mergeCell ref="N93:N94"/>
    <mergeCell ref="L97:L98"/>
    <mergeCell ref="L103:L104"/>
    <mergeCell ref="O97:O98"/>
    <mergeCell ref="O99:O100"/>
    <mergeCell ref="O103:O104"/>
    <mergeCell ref="P83:P84"/>
    <mergeCell ref="L105:L106"/>
    <mergeCell ref="Y83:Y84"/>
    <mergeCell ref="U85:U86"/>
    <mergeCell ref="V85:V86"/>
    <mergeCell ref="W85:W86"/>
    <mergeCell ref="X85:X86"/>
    <mergeCell ref="Y85:Y86"/>
    <mergeCell ref="W77:W78"/>
    <mergeCell ref="X77:X78"/>
    <mergeCell ref="W79:W80"/>
    <mergeCell ref="X79:X80"/>
    <mergeCell ref="U87:U88"/>
    <mergeCell ref="V87:V88"/>
    <mergeCell ref="W87:W88"/>
    <mergeCell ref="Y87:Y88"/>
    <mergeCell ref="U89:U90"/>
    <mergeCell ref="V89:V90"/>
    <mergeCell ref="W89:W90"/>
    <mergeCell ref="X89:X90"/>
    <mergeCell ref="Y89:Y90"/>
    <mergeCell ref="W81:W82"/>
    <mergeCell ref="X81:X82"/>
    <mergeCell ref="U77:U82"/>
    <mergeCell ref="V77:V82"/>
    <mergeCell ref="Y77:Y82"/>
    <mergeCell ref="X87:X88"/>
    <mergeCell ref="W83:W84"/>
    <mergeCell ref="X83:X84"/>
    <mergeCell ref="V107:V108"/>
    <mergeCell ref="W107:W108"/>
    <mergeCell ref="X107:X108"/>
    <mergeCell ref="Y107:Y108"/>
    <mergeCell ref="U109:U110"/>
    <mergeCell ref="W109:W110"/>
    <mergeCell ref="X109:X110"/>
    <mergeCell ref="Y109:Y110"/>
    <mergeCell ref="U95:U96"/>
    <mergeCell ref="V95:V96"/>
    <mergeCell ref="W95:W96"/>
    <mergeCell ref="X95:X96"/>
    <mergeCell ref="Y95:Y96"/>
    <mergeCell ref="U97:U98"/>
    <mergeCell ref="V97:V98"/>
    <mergeCell ref="W97:W98"/>
    <mergeCell ref="X97:X98"/>
    <mergeCell ref="Y97:Y98"/>
    <mergeCell ref="U99:U100"/>
    <mergeCell ref="V99:V100"/>
    <mergeCell ref="U103:U104"/>
    <mergeCell ref="U105:U106"/>
    <mergeCell ref="V105:V106"/>
    <mergeCell ref="W125:W126"/>
    <mergeCell ref="X125:X126"/>
    <mergeCell ref="Y125:Y126"/>
    <mergeCell ref="U127:U128"/>
    <mergeCell ref="W127:W128"/>
    <mergeCell ref="X127:X128"/>
    <mergeCell ref="Y127:Y128"/>
    <mergeCell ref="U111:U112"/>
    <mergeCell ref="W111:W112"/>
    <mergeCell ref="X111:X112"/>
    <mergeCell ref="Y111:Y112"/>
    <mergeCell ref="W113:W114"/>
    <mergeCell ref="X113:X114"/>
    <mergeCell ref="Y113:Y114"/>
    <mergeCell ref="W115:W116"/>
    <mergeCell ref="X115:X116"/>
    <mergeCell ref="Y115:Y116"/>
    <mergeCell ref="W117:W118"/>
    <mergeCell ref="X117:X118"/>
    <mergeCell ref="Y117:Y118"/>
    <mergeCell ref="U121:U122"/>
    <mergeCell ref="W121:W122"/>
    <mergeCell ref="X121:X122"/>
    <mergeCell ref="Y121:Y122"/>
    <mergeCell ref="W119:W120"/>
    <mergeCell ref="X119:X120"/>
    <mergeCell ref="Y119:Y120"/>
    <mergeCell ref="W105:W106"/>
    <mergeCell ref="X105:X106"/>
    <mergeCell ref="Y105:Y106"/>
    <mergeCell ref="W99:W100"/>
    <mergeCell ref="Y99:Y100"/>
    <mergeCell ref="U101:U102"/>
    <mergeCell ref="V101:V102"/>
    <mergeCell ref="W101:W102"/>
    <mergeCell ref="X101:X102"/>
    <mergeCell ref="Y101:Y102"/>
    <mergeCell ref="X99:X100"/>
    <mergeCell ref="U123:U124"/>
    <mergeCell ref="W123:W124"/>
    <mergeCell ref="X123:X124"/>
    <mergeCell ref="Y123:Y124"/>
    <mergeCell ref="W4:W5"/>
    <mergeCell ref="X4:X5"/>
    <mergeCell ref="Y4:Y5"/>
    <mergeCell ref="V4:V5"/>
    <mergeCell ref="V103:V104"/>
    <mergeCell ref="W103:W104"/>
    <mergeCell ref="X103:X104"/>
    <mergeCell ref="Y103:Y104"/>
    <mergeCell ref="W91:W92"/>
    <mergeCell ref="X91:X92"/>
    <mergeCell ref="Y91:Y92"/>
    <mergeCell ref="U93:U94"/>
    <mergeCell ref="V93:V94"/>
    <mergeCell ref="W93:W94"/>
    <mergeCell ref="X93:X94"/>
    <mergeCell ref="Y93:Y94"/>
    <mergeCell ref="U107:U108"/>
  </mergeCells>
  <dataValidations disablePrompts="1" count="2">
    <dataValidation type="list" allowBlank="1" showErrorMessage="1" sqref="D10 D6:D8 D18 D14 D16 D12 D111 D109">
      <formula1>Inversión</formula1>
      <formula2>0</formula2>
    </dataValidation>
    <dataValidation type="list" allowBlank="1" showInputMessage="1" showErrorMessage="1" sqref="D53 D55 D50 D28 D63 D119 D38:D43 D89 D91 D101:D107 D83 D85 D87 D95 D113 D115 D117 D20:D22 D24:D26 D77">
      <formula1>Inversión</formula1>
    </dataValidation>
  </dataValidations>
  <hyperlinks>
    <hyperlink ref="V20" r:id="rId1"/>
    <hyperlink ref="V32:V33" r:id="rId2" display="https://www.epq.gov.co/index.php/es/transparencia-y-acceso-a-la-informacion/politicas-planes-o-lineas-estrategicas.html"/>
    <hyperlink ref="V28:V29" r:id="rId3" display="C:\Users\TEMP.Rodrigo-PC.010\Downloads\actualizaciones sitio web.pdf"/>
    <hyperlink ref="V30:V31" r:id="rId4" display=" Ver Evidencia 2                "/>
    <hyperlink ref="V34:V35" r:id="rId5" display="Ver Evidencias 4                                                                         "/>
    <hyperlink ref="V36:V37" r:id="rId6" display="Ver Evidencias 5    "/>
  </hyperlinks>
  <printOptions horizontalCentered="1" verticalCentered="1"/>
  <pageMargins left="0.19685039370078741" right="0.59055118110236227" top="0.39370078740157483" bottom="0.39370078740157483" header="0.31496062992125984" footer="0.31496062992125984"/>
  <pageSetup scale="64" fitToHeight="0" orientation="landscape" r:id="rId7"/>
  <rowBreaks count="3" manualBreakCount="3">
    <brk id="27" max="9" man="1"/>
    <brk id="62" max="9" man="1"/>
    <brk id="96" max="9" man="1"/>
  </rowBreaks>
  <ignoredErrors>
    <ignoredError sqref="W38 W99 J32 O62 O83:Q83 N89:Q89 P97 N99:O99 L99 J99 M109 M111 J121 L121 N121 M125 L89 J89 M42 J117 L117" formula="1"/>
  </ignoredErrors>
  <drawing r:id="rId8"/>
  <legacyDrawing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SEGUIMIENTO PLAN DE ACCIÓN 2023</vt:lpstr>
      <vt:lpstr>'SEGUIMIENTO PLAN DE ACCIÓN 2023'!Área_de_impresión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JUANCARLOS</dc:creator>
  <cp:lastModifiedBy>CALIDAD PLANEACION</cp:lastModifiedBy>
  <cp:lastPrinted>2023-04-17T13:35:09Z</cp:lastPrinted>
  <dcterms:created xsi:type="dcterms:W3CDTF">2012-08-06T20:00:53Z</dcterms:created>
  <dcterms:modified xsi:type="dcterms:W3CDTF">2024-02-23T16:50:36Z</dcterms:modified>
</cp:coreProperties>
</file>